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irley.jensen\Documents\FY18 WATER RESOURSE 104G\"/>
    </mc:Choice>
  </mc:AlternateContent>
  <bookViews>
    <workbookView xWindow="0" yWindow="0" windowWidth="20490" windowHeight="7755" tabRatio="811"/>
  </bookViews>
  <sheets>
    <sheet name="Award" sheetId="1" r:id="rId1"/>
    <sheet name="Justification" sheetId="29" r:id="rId2"/>
    <sheet name="Short Justification" sheetId="25" r:id="rId3"/>
    <sheet name="Match" sheetId="10" r:id="rId4"/>
    <sheet name="Match Justification" sheetId="30" r:id="rId5"/>
    <sheet name="GRA" sheetId="23" r:id="rId6"/>
    <sheet name="Compliance" sheetId="7" r:id="rId7"/>
    <sheet name="PI Time" sheetId="8" r:id="rId8"/>
    <sheet name="R&amp;R Yr 1" sheetId="11" r:id="rId9"/>
    <sheet name="R&amp;R Yr 2" sheetId="13" r:id="rId10"/>
    <sheet name="R&amp;R Yr 3" sheetId="14" r:id="rId11"/>
    <sheet name="R&amp;R Yr 4" sheetId="16" r:id="rId12"/>
    <sheet name="R&amp;R Yr 5" sheetId="17" r:id="rId13"/>
    <sheet name="R&amp;R Cummlative" sheetId="12" r:id="rId14"/>
    <sheet name="TR Data" sheetId="19" state="hidden" r:id="rId15"/>
    <sheet name="Sheet3" sheetId="21" state="hidden" r:id="rId16"/>
    <sheet name="TR" sheetId="22" r:id="rId17"/>
    <sheet name="GA Rates" sheetId="24" r:id="rId18"/>
    <sheet name="Instructions" sheetId="5" r:id="rId19"/>
    <sheet name="Budget Information" sheetId="18" r:id="rId20"/>
  </sheets>
  <externalReferences>
    <externalReference r:id="rId21"/>
  </externalReferences>
  <definedNames>
    <definedName name="_xlnm.Print_Area" localSheetId="0">Award!$A$1:$AL$99</definedName>
    <definedName name="_xlnm.Print_Area" localSheetId="5">GRA!$A$1:$AA$36</definedName>
    <definedName name="_xlnm.Print_Area" localSheetId="18">Instructions!$A$1:$P$19</definedName>
    <definedName name="_xlnm.Print_Area" localSheetId="3">Match!$A$1:$AL$101</definedName>
    <definedName name="_xlnm.Print_Area" localSheetId="16">TR!$A$1:$R$27</definedName>
    <definedName name="_xlnm.Print_Titles" localSheetId="0">Award!$1:$8</definedName>
    <definedName name="_xlnm.Print_Titles" localSheetId="5">GRA!$1:$8</definedName>
    <definedName name="_xlnm.Print_Titles" localSheetId="3">Match!$1:$8</definedName>
  </definedNames>
  <calcPr calcId="152511"/>
</workbook>
</file>

<file path=xl/calcChain.xml><?xml version="1.0" encoding="utf-8"?>
<calcChain xmlns="http://schemas.openxmlformats.org/spreadsheetml/2006/main">
  <c r="H53" i="30" l="1"/>
  <c r="G53" i="30"/>
  <c r="F53" i="30"/>
  <c r="E53" i="30"/>
  <c r="D53" i="30"/>
  <c r="H52" i="30"/>
  <c r="G52" i="30"/>
  <c r="F52" i="30"/>
  <c r="E52" i="30"/>
  <c r="D52" i="30"/>
  <c r="H49" i="30"/>
  <c r="G49" i="30"/>
  <c r="F49" i="30"/>
  <c r="E49" i="30"/>
  <c r="D49" i="30"/>
  <c r="H48" i="30"/>
  <c r="G48" i="30"/>
  <c r="F48" i="30"/>
  <c r="E48" i="30"/>
  <c r="D48" i="30"/>
  <c r="H47" i="30"/>
  <c r="G47" i="30"/>
  <c r="F47" i="30"/>
  <c r="E47" i="30"/>
  <c r="I47" i="30" s="1"/>
  <c r="D47" i="30"/>
  <c r="H46" i="30"/>
  <c r="G46" i="30"/>
  <c r="F46" i="30"/>
  <c r="E46" i="30"/>
  <c r="D46" i="30"/>
  <c r="H45" i="30"/>
  <c r="H54" i="30" s="1"/>
  <c r="G45" i="30"/>
  <c r="F45" i="30"/>
  <c r="E45" i="30"/>
  <c r="D45" i="30"/>
  <c r="B42" i="30"/>
  <c r="C43" i="30"/>
  <c r="H42" i="30"/>
  <c r="G42" i="30"/>
  <c r="F42" i="30"/>
  <c r="I42" i="30" s="1"/>
  <c r="E42" i="30"/>
  <c r="D42" i="30"/>
  <c r="H41" i="30"/>
  <c r="G41" i="30"/>
  <c r="F41" i="30"/>
  <c r="E41" i="30"/>
  <c r="D41" i="30"/>
  <c r="I41" i="30" s="1"/>
  <c r="H40" i="30"/>
  <c r="G40" i="30"/>
  <c r="F40" i="30"/>
  <c r="E40" i="30"/>
  <c r="D40" i="30"/>
  <c r="H39" i="30"/>
  <c r="G39" i="30"/>
  <c r="F39" i="30"/>
  <c r="F43" i="30" s="1"/>
  <c r="E39" i="30"/>
  <c r="I39" i="30" s="1"/>
  <c r="D39" i="30"/>
  <c r="H35" i="30"/>
  <c r="G35" i="30"/>
  <c r="F35" i="30"/>
  <c r="E35" i="30"/>
  <c r="D35" i="30"/>
  <c r="I35" i="30" s="1"/>
  <c r="H34" i="30"/>
  <c r="G34" i="30"/>
  <c r="F34" i="30"/>
  <c r="E34" i="30"/>
  <c r="D34" i="30"/>
  <c r="H32" i="30"/>
  <c r="G32" i="30"/>
  <c r="F32" i="30"/>
  <c r="E32" i="30"/>
  <c r="D32" i="30"/>
  <c r="I32" i="30" s="1"/>
  <c r="H28" i="30"/>
  <c r="G28" i="30"/>
  <c r="F28" i="30"/>
  <c r="E28" i="30"/>
  <c r="D28" i="30"/>
  <c r="D27" i="30"/>
  <c r="D26" i="30"/>
  <c r="D25" i="30"/>
  <c r="D24" i="30"/>
  <c r="D23" i="30"/>
  <c r="D20" i="30"/>
  <c r="C20" i="30"/>
  <c r="B20" i="30"/>
  <c r="D19" i="30"/>
  <c r="C19" i="30"/>
  <c r="B19" i="30"/>
  <c r="D18" i="30"/>
  <c r="C18" i="30"/>
  <c r="B18" i="30"/>
  <c r="D17" i="30"/>
  <c r="C17" i="30"/>
  <c r="B17" i="30"/>
  <c r="D16" i="30"/>
  <c r="C16" i="30"/>
  <c r="B16" i="30"/>
  <c r="D15" i="30"/>
  <c r="C15" i="30"/>
  <c r="B15" i="30"/>
  <c r="D14" i="30"/>
  <c r="C14" i="30"/>
  <c r="B14" i="30"/>
  <c r="D13" i="30"/>
  <c r="C13" i="30"/>
  <c r="B13" i="30"/>
  <c r="D12" i="30"/>
  <c r="C12" i="30"/>
  <c r="B12" i="30"/>
  <c r="D11" i="30"/>
  <c r="C11" i="30"/>
  <c r="B11" i="30"/>
  <c r="D10" i="30"/>
  <c r="C10" i="30"/>
  <c r="B10" i="30"/>
  <c r="D9" i="30"/>
  <c r="C9" i="30"/>
  <c r="B9" i="30"/>
  <c r="D8" i="30"/>
  <c r="C8" i="30"/>
  <c r="B8" i="30"/>
  <c r="D7" i="30"/>
  <c r="C7" i="30"/>
  <c r="B7" i="30"/>
  <c r="D6" i="30"/>
  <c r="C6" i="30"/>
  <c r="B6" i="30"/>
  <c r="D5" i="30"/>
  <c r="C5" i="30"/>
  <c r="B5" i="30"/>
  <c r="J61" i="30"/>
  <c r="I49" i="30"/>
  <c r="H36" i="30"/>
  <c r="G36" i="30"/>
  <c r="F36" i="30"/>
  <c r="E36" i="30"/>
  <c r="I28" i="30"/>
  <c r="B24" i="30"/>
  <c r="C3" i="30"/>
  <c r="A3" i="30"/>
  <c r="C2" i="30"/>
  <c r="J61" i="29"/>
  <c r="C3" i="29"/>
  <c r="C2" i="29"/>
  <c r="E34" i="29"/>
  <c r="E35" i="29"/>
  <c r="E48" i="29"/>
  <c r="E47" i="29"/>
  <c r="E46" i="29"/>
  <c r="E45" i="29"/>
  <c r="H40" i="29"/>
  <c r="H43" i="29" s="1"/>
  <c r="H41" i="29"/>
  <c r="H42" i="29"/>
  <c r="H39" i="29"/>
  <c r="H53" i="29"/>
  <c r="G53" i="29"/>
  <c r="F53" i="29"/>
  <c r="E53" i="29"/>
  <c r="D53" i="29"/>
  <c r="H49" i="29"/>
  <c r="G49" i="29"/>
  <c r="F49" i="29"/>
  <c r="E49" i="29"/>
  <c r="D49" i="29"/>
  <c r="H48" i="29"/>
  <c r="G48" i="29"/>
  <c r="F48" i="29"/>
  <c r="D48" i="29"/>
  <c r="H47" i="29"/>
  <c r="G47" i="29"/>
  <c r="F47" i="29"/>
  <c r="D47" i="29"/>
  <c r="H46" i="29"/>
  <c r="G46" i="29"/>
  <c r="F46" i="29"/>
  <c r="D46" i="29"/>
  <c r="H45" i="29"/>
  <c r="G45" i="29"/>
  <c r="F45" i="29"/>
  <c r="D45" i="29"/>
  <c r="E40" i="29"/>
  <c r="F40" i="29"/>
  <c r="G40" i="29"/>
  <c r="E41" i="29"/>
  <c r="F41" i="29"/>
  <c r="G41" i="29"/>
  <c r="E42" i="29"/>
  <c r="F42" i="29"/>
  <c r="G42" i="29"/>
  <c r="G39" i="29"/>
  <c r="F39" i="29"/>
  <c r="E39" i="29"/>
  <c r="D42" i="29"/>
  <c r="D41" i="29"/>
  <c r="D40" i="29"/>
  <c r="D39" i="29"/>
  <c r="C43" i="29"/>
  <c r="F35" i="29"/>
  <c r="G35" i="29"/>
  <c r="H35" i="29"/>
  <c r="H34" i="29"/>
  <c r="G34" i="29"/>
  <c r="F34" i="29"/>
  <c r="D35" i="29"/>
  <c r="D34" i="29"/>
  <c r="H32" i="29"/>
  <c r="G32" i="29"/>
  <c r="F32" i="29"/>
  <c r="E32" i="29"/>
  <c r="D32" i="29"/>
  <c r="B24" i="29"/>
  <c r="B6" i="29"/>
  <c r="C6" i="29"/>
  <c r="B7" i="29"/>
  <c r="C7" i="29"/>
  <c r="B8" i="29"/>
  <c r="C8" i="29"/>
  <c r="B9" i="29"/>
  <c r="C9" i="29"/>
  <c r="B10" i="29"/>
  <c r="C10" i="29"/>
  <c r="B11" i="29"/>
  <c r="C11" i="29"/>
  <c r="B12" i="29"/>
  <c r="C12" i="29"/>
  <c r="B13" i="29"/>
  <c r="C13" i="29"/>
  <c r="B14" i="29"/>
  <c r="C14" i="29"/>
  <c r="B15" i="29"/>
  <c r="C15" i="29"/>
  <c r="B16" i="29"/>
  <c r="C16" i="29"/>
  <c r="B17" i="29"/>
  <c r="C17" i="29"/>
  <c r="B18" i="29"/>
  <c r="C18" i="29"/>
  <c r="B19" i="29"/>
  <c r="C19" i="29"/>
  <c r="B20" i="29"/>
  <c r="C20" i="29"/>
  <c r="C5" i="29"/>
  <c r="B5" i="29"/>
  <c r="A3" i="29"/>
  <c r="A1" i="29"/>
  <c r="I40" i="30" l="1"/>
  <c r="I43" i="30" s="1"/>
  <c r="G43" i="30"/>
  <c r="D21" i="30"/>
  <c r="E43" i="29"/>
  <c r="E43" i="30"/>
  <c r="H43" i="30"/>
  <c r="I45" i="30"/>
  <c r="I46" i="30"/>
  <c r="F54" i="30"/>
  <c r="I52" i="30"/>
  <c r="I53" i="30"/>
  <c r="G43" i="29"/>
  <c r="I34" i="30"/>
  <c r="F43" i="29"/>
  <c r="H36" i="29"/>
  <c r="G36" i="29"/>
  <c r="G54" i="30"/>
  <c r="D54" i="30"/>
  <c r="I54" i="30" s="1"/>
  <c r="I48" i="30"/>
  <c r="E54" i="30"/>
  <c r="D43" i="30"/>
  <c r="D29" i="30"/>
  <c r="I36" i="30"/>
  <c r="D36" i="30"/>
  <c r="I34" i="29"/>
  <c r="I35" i="29"/>
  <c r="F36" i="29"/>
  <c r="E36" i="29"/>
  <c r="I53" i="29"/>
  <c r="I49" i="29"/>
  <c r="I45" i="29"/>
  <c r="I47" i="29"/>
  <c r="I46" i="29"/>
  <c r="I48" i="29"/>
  <c r="I42" i="29"/>
  <c r="I40" i="29"/>
  <c r="I39" i="29"/>
  <c r="I41" i="29"/>
  <c r="D43" i="29"/>
  <c r="D36" i="29"/>
  <c r="I32" i="29"/>
  <c r="I36" i="29" l="1"/>
  <c r="I43" i="29"/>
  <c r="AA2" i="10" l="1"/>
  <c r="T2" i="10"/>
  <c r="E4" i="10"/>
  <c r="W4" i="10"/>
  <c r="O4" i="10"/>
  <c r="G30" i="25" l="1"/>
  <c r="F30" i="25"/>
  <c r="E30" i="25"/>
  <c r="D30" i="25"/>
  <c r="C30" i="25"/>
  <c r="A20" i="25"/>
  <c r="B20" i="25"/>
  <c r="H30" i="25" l="1"/>
  <c r="S4" i="10"/>
  <c r="F14" i="22" l="1"/>
  <c r="F16" i="22" l="1"/>
  <c r="F32" i="22" s="1"/>
  <c r="F33" i="22" s="1"/>
  <c r="F34" i="22" s="1"/>
  <c r="F35" i="22" s="1"/>
  <c r="F36" i="22" s="1"/>
  <c r="F37" i="22" s="1"/>
  <c r="F38" i="22" s="1"/>
  <c r="H18" i="24"/>
  <c r="H20" i="24" s="1"/>
  <c r="H14" i="24"/>
  <c r="H16" i="24" s="1"/>
  <c r="H9" i="24"/>
  <c r="H11" i="24" s="1"/>
  <c r="H5" i="24"/>
  <c r="H7" i="24" s="1"/>
  <c r="H10" i="24" l="1"/>
  <c r="H15" i="24"/>
  <c r="H6" i="24"/>
  <c r="H19" i="24"/>
  <c r="B2" i="25" l="1"/>
  <c r="G29" i="25"/>
  <c r="F29" i="25"/>
  <c r="E29" i="25"/>
  <c r="D29" i="25"/>
  <c r="C29" i="25"/>
  <c r="G28" i="25"/>
  <c r="F28" i="25"/>
  <c r="E28" i="25"/>
  <c r="D28" i="25"/>
  <c r="C28" i="25"/>
  <c r="G27" i="25"/>
  <c r="F27" i="25"/>
  <c r="E27" i="25"/>
  <c r="D27" i="25"/>
  <c r="C27" i="25"/>
  <c r="H27" i="25" l="1"/>
  <c r="H29" i="25"/>
  <c r="H28" i="25"/>
  <c r="G24" i="25"/>
  <c r="F24" i="25"/>
  <c r="E24" i="25"/>
  <c r="D24" i="25"/>
  <c r="C24" i="25"/>
  <c r="H24" i="25" l="1"/>
  <c r="A6" i="25"/>
  <c r="B6" i="25"/>
  <c r="A7" i="25"/>
  <c r="B7" i="25"/>
  <c r="A8" i="25"/>
  <c r="B8" i="25"/>
  <c r="A9" i="25"/>
  <c r="B9" i="25"/>
  <c r="A10" i="25"/>
  <c r="B10" i="25"/>
  <c r="A11" i="25"/>
  <c r="B11" i="25"/>
  <c r="A12" i="25"/>
  <c r="B12" i="25"/>
  <c r="A13" i="25"/>
  <c r="B13" i="25"/>
  <c r="A14" i="25"/>
  <c r="B14" i="25"/>
  <c r="A15" i="25"/>
  <c r="B15" i="25"/>
  <c r="A16" i="25"/>
  <c r="B16" i="25"/>
  <c r="A17" i="25"/>
  <c r="B17" i="25"/>
  <c r="A18" i="25"/>
  <c r="B18" i="25"/>
  <c r="A19" i="25"/>
  <c r="B19" i="25"/>
  <c r="B5" i="25"/>
  <c r="A5" i="25"/>
  <c r="I24" i="22" l="1"/>
  <c r="I14" i="22"/>
  <c r="I16" i="22" s="1"/>
  <c r="I32" i="22" s="1"/>
  <c r="I33" i="22" s="1"/>
  <c r="I34" i="22" s="1"/>
  <c r="I35" i="22" s="1"/>
  <c r="I36" i="22" s="1"/>
  <c r="I37" i="22" s="1"/>
  <c r="I38" i="22" s="1"/>
  <c r="I39" i="22" s="1"/>
  <c r="I40" i="22" s="1"/>
  <c r="H31" i="1" l="1"/>
  <c r="H30" i="1"/>
  <c r="N30" i="1" s="1"/>
  <c r="K18" i="24"/>
  <c r="K20" i="24" s="1"/>
  <c r="K14" i="24"/>
  <c r="K16" i="24" s="1"/>
  <c r="K9" i="24"/>
  <c r="K11" i="24" s="1"/>
  <c r="K5" i="24"/>
  <c r="K7" i="24" s="1"/>
  <c r="D25" i="29" l="1"/>
  <c r="E16" i="22"/>
  <c r="E32" i="22" s="1"/>
  <c r="E33" i="22" s="1"/>
  <c r="E34" i="22" s="1"/>
  <c r="E35" i="22" s="1"/>
  <c r="E36" i="22" s="1"/>
  <c r="E37" i="22" s="1"/>
  <c r="E38" i="22" s="1"/>
  <c r="E39" i="22" s="1"/>
  <c r="E40" i="22" s="1"/>
  <c r="Z33" i="23" l="1"/>
  <c r="W33" i="23"/>
  <c r="T33" i="23"/>
  <c r="Q33" i="23"/>
  <c r="N33" i="23"/>
  <c r="H33" i="23"/>
  <c r="F33" i="23"/>
  <c r="Z32" i="23"/>
  <c r="W32" i="23"/>
  <c r="T32" i="23"/>
  <c r="Q32" i="23"/>
  <c r="N32" i="23"/>
  <c r="AA28" i="23"/>
  <c r="Z28" i="23"/>
  <c r="Z36" i="23" s="1"/>
  <c r="W28" i="23"/>
  <c r="W36" i="23" s="1"/>
  <c r="T28" i="23"/>
  <c r="T36" i="23" s="1"/>
  <c r="Q28" i="23"/>
  <c r="Q36" i="23" s="1"/>
  <c r="N28" i="23"/>
  <c r="N36" i="23" s="1"/>
  <c r="AA36" i="23" s="1"/>
  <c r="AA20" i="23"/>
  <c r="AA22" i="23" s="1"/>
  <c r="Z20" i="23"/>
  <c r="Z22" i="23" s="1"/>
  <c r="W20" i="23"/>
  <c r="W22" i="23" s="1"/>
  <c r="T20" i="23"/>
  <c r="T22" i="23" s="1"/>
  <c r="Q20" i="23"/>
  <c r="Q22" i="23" s="1"/>
  <c r="N20" i="23"/>
  <c r="N22" i="23" s="1"/>
  <c r="AG14" i="23"/>
  <c r="AH14" i="23" s="1"/>
  <c r="O14" i="23"/>
  <c r="R14" i="23" s="1"/>
  <c r="U14" i="23" s="1"/>
  <c r="X14" i="23" s="1"/>
  <c r="N14" i="23"/>
  <c r="AB14" i="23" s="1"/>
  <c r="AG13" i="23"/>
  <c r="AH13" i="23" s="1"/>
  <c r="AI13" i="23" s="1"/>
  <c r="AJ13" i="23" s="1"/>
  <c r="O13" i="23"/>
  <c r="Q13" i="23" s="1"/>
  <c r="AC13" i="23" s="1"/>
  <c r="N13" i="23"/>
  <c r="AB13" i="23" s="1"/>
  <c r="AG12" i="23"/>
  <c r="AH12" i="23" s="1"/>
  <c r="AI12" i="23" s="1"/>
  <c r="O12" i="23"/>
  <c r="Q12" i="23" s="1"/>
  <c r="AC12" i="23" s="1"/>
  <c r="N12" i="23"/>
  <c r="AB12" i="23" s="1"/>
  <c r="BC11" i="23"/>
  <c r="L20" i="23" s="1"/>
  <c r="AG11" i="23"/>
  <c r="AH11" i="23" s="1"/>
  <c r="O11" i="23"/>
  <c r="R11" i="23" s="1"/>
  <c r="U11" i="23" s="1"/>
  <c r="X11" i="23" s="1"/>
  <c r="N11" i="23"/>
  <c r="AB11" i="23" s="1"/>
  <c r="BD10" i="23"/>
  <c r="BD11" i="23" s="1"/>
  <c r="BD12" i="23" s="1"/>
  <c r="BD13" i="23" s="1"/>
  <c r="BD14" i="23" s="1"/>
  <c r="BD15" i="23" s="1"/>
  <c r="BD16" i="23" s="1"/>
  <c r="BD17" i="23" s="1"/>
  <c r="BD18" i="23" s="1"/>
  <c r="BD19" i="23" s="1"/>
  <c r="BD20" i="23" s="1"/>
  <c r="BD21" i="23" s="1"/>
  <c r="BD22" i="23" s="1"/>
  <c r="BD23" i="23" s="1"/>
  <c r="BD24" i="23" s="1"/>
  <c r="AG10" i="23"/>
  <c r="AH10" i="23" s="1"/>
  <c r="AI10" i="23" s="1"/>
  <c r="AJ10" i="23" s="1"/>
  <c r="O10" i="23"/>
  <c r="N10" i="23"/>
  <c r="AB10" i="23" s="1"/>
  <c r="AG9" i="23"/>
  <c r="AH9" i="23" s="1"/>
  <c r="O9" i="23"/>
  <c r="R9" i="23" s="1"/>
  <c r="U9" i="23" s="1"/>
  <c r="X9" i="23" s="1"/>
  <c r="N9" i="23"/>
  <c r="AB9" i="23" s="1"/>
  <c r="Z8" i="23"/>
  <c r="BC12" i="23" l="1"/>
  <c r="BC13" i="23" s="1"/>
  <c r="BC14" i="23" s="1"/>
  <c r="BC15" i="23" s="1"/>
  <c r="BC16" i="23" s="1"/>
  <c r="BC17" i="23" s="1"/>
  <c r="BC18" i="23" s="1"/>
  <c r="BC19" i="23" s="1"/>
  <c r="BC20" i="23" s="1"/>
  <c r="BC21" i="23" s="1"/>
  <c r="BC22" i="23" s="1"/>
  <c r="BC23" i="23" s="1"/>
  <c r="BC24" i="23" s="1"/>
  <c r="Q10" i="23"/>
  <c r="AC10" i="23" s="1"/>
  <c r="M31" i="23"/>
  <c r="N31" i="23" s="1"/>
  <c r="R13" i="23"/>
  <c r="U13" i="23" s="1"/>
  <c r="X13" i="23" s="1"/>
  <c r="Z13" i="23" s="1"/>
  <c r="AF13" i="23" s="1"/>
  <c r="N15" i="23"/>
  <c r="N17" i="23" s="1"/>
  <c r="AA33" i="23"/>
  <c r="AA32" i="23"/>
  <c r="T14" i="23"/>
  <c r="AD14" i="23" s="1"/>
  <c r="AI14" i="23"/>
  <c r="T11" i="23"/>
  <c r="AD11" i="23" s="1"/>
  <c r="AI11" i="23"/>
  <c r="AJ12" i="23"/>
  <c r="AI9" i="23"/>
  <c r="T9" i="23"/>
  <c r="AD9" i="23" s="1"/>
  <c r="T13" i="23"/>
  <c r="AD13" i="23" s="1"/>
  <c r="W13" i="23"/>
  <c r="AE13" i="23" s="1"/>
  <c r="Q9" i="23"/>
  <c r="AC9" i="23" s="1"/>
  <c r="Q11" i="23"/>
  <c r="AC11" i="23" s="1"/>
  <c r="Q14" i="23"/>
  <c r="AC14" i="23" s="1"/>
  <c r="R10" i="23"/>
  <c r="R12" i="23"/>
  <c r="U12" i="23" s="1"/>
  <c r="X12" i="23" s="1"/>
  <c r="W12" i="23" l="1"/>
  <c r="AE12" i="23" s="1"/>
  <c r="AA13" i="23"/>
  <c r="U10" i="23"/>
  <c r="T10" i="23"/>
  <c r="AD10" i="23" s="1"/>
  <c r="T12" i="23"/>
  <c r="AD12" i="23" s="1"/>
  <c r="Q15" i="23"/>
  <c r="W11" i="23"/>
  <c r="AE11" i="23" s="1"/>
  <c r="AJ11" i="23"/>
  <c r="Z11" i="23" s="1"/>
  <c r="AF11" i="23" s="1"/>
  <c r="AB15" i="23"/>
  <c r="Z12" i="23"/>
  <c r="AF12" i="23" s="1"/>
  <c r="AJ9" i="23"/>
  <c r="Z9" i="23" s="1"/>
  <c r="AF9" i="23" s="1"/>
  <c r="W9" i="23"/>
  <c r="AE9" i="23" s="1"/>
  <c r="N34" i="23"/>
  <c r="AA34" i="23" s="1"/>
  <c r="Y31" i="23"/>
  <c r="Z31" i="23" s="1"/>
  <c r="Z34" i="23" s="1"/>
  <c r="AA31" i="23"/>
  <c r="AJ14" i="23"/>
  <c r="Z14" i="23" s="1"/>
  <c r="AF14" i="23" s="1"/>
  <c r="W14" i="23"/>
  <c r="AE14" i="23" s="1"/>
  <c r="AA12" i="23" l="1"/>
  <c r="S31" i="23"/>
  <c r="T31" i="23" s="1"/>
  <c r="T34" i="23" s="1"/>
  <c r="AA11" i="23"/>
  <c r="AC15" i="23"/>
  <c r="Q21" i="23" s="1"/>
  <c r="P31" i="23"/>
  <c r="Q31" i="23" s="1"/>
  <c r="Q34" i="23" s="1"/>
  <c r="AA14" i="23"/>
  <c r="T15" i="23"/>
  <c r="N21" i="23"/>
  <c r="N24" i="23"/>
  <c r="N26" i="23" s="1"/>
  <c r="AA9" i="23"/>
  <c r="Q17" i="23"/>
  <c r="X10" i="23"/>
  <c r="W10" i="23"/>
  <c r="R14" i="22"/>
  <c r="J14" i="22"/>
  <c r="W15" i="23" l="1"/>
  <c r="W17" i="23" s="1"/>
  <c r="AE10" i="23"/>
  <c r="AD15" i="23"/>
  <c r="T21" i="23" s="1"/>
  <c r="Q24" i="23"/>
  <c r="Q26" i="23" s="1"/>
  <c r="V31" i="23"/>
  <c r="W31" i="23" s="1"/>
  <c r="W34" i="23" s="1"/>
  <c r="T17" i="23"/>
  <c r="AE15" i="23"/>
  <c r="Z10" i="23"/>
  <c r="AF10" i="23" s="1"/>
  <c r="T24" i="23" l="1"/>
  <c r="T26" i="23" s="1"/>
  <c r="AF15" i="23"/>
  <c r="Z21" i="23" s="1"/>
  <c r="AA25" i="23"/>
  <c r="W21" i="23"/>
  <c r="W24" i="23"/>
  <c r="W26" i="23" s="1"/>
  <c r="AA10" i="23"/>
  <c r="Z15" i="23"/>
  <c r="H24" i="22"/>
  <c r="AA21" i="23" l="1"/>
  <c r="Z17" i="23"/>
  <c r="Z24" i="23"/>
  <c r="Z26" i="23" s="1"/>
  <c r="AA24" i="23"/>
  <c r="AA26" i="23" s="1"/>
  <c r="AA15" i="23"/>
  <c r="AA17" i="23" s="1"/>
  <c r="A1" i="10"/>
  <c r="R16" i="22" l="1"/>
  <c r="R32" i="22" s="1"/>
  <c r="R33" i="22" s="1"/>
  <c r="R34" i="22" s="1"/>
  <c r="R35" i="22" s="1"/>
  <c r="R36" i="22" s="1"/>
  <c r="R37" i="22" s="1"/>
  <c r="R38" i="22" s="1"/>
  <c r="R39" i="22" s="1"/>
  <c r="R40" i="22" s="1"/>
  <c r="Q14" i="22"/>
  <c r="Q16" i="22" s="1"/>
  <c r="Q32" i="22" s="1"/>
  <c r="Q33" i="22" s="1"/>
  <c r="Q34" i="22" s="1"/>
  <c r="Q35" i="22" s="1"/>
  <c r="Q36" i="22" s="1"/>
  <c r="Q37" i="22" s="1"/>
  <c r="Q38" i="22" s="1"/>
  <c r="Q39" i="22" s="1"/>
  <c r="Q40" i="22" s="1"/>
  <c r="P14" i="22"/>
  <c r="P16" i="22" s="1"/>
  <c r="P32" i="22" s="1"/>
  <c r="P33" i="22" s="1"/>
  <c r="P34" i="22" s="1"/>
  <c r="P35" i="22" s="1"/>
  <c r="P36" i="22" s="1"/>
  <c r="P37" i="22" s="1"/>
  <c r="P38" i="22" s="1"/>
  <c r="P39" i="22" s="1"/>
  <c r="P40" i="22" s="1"/>
  <c r="O14" i="22"/>
  <c r="O16" i="22" s="1"/>
  <c r="O32" i="22" s="1"/>
  <c r="O33" i="22" s="1"/>
  <c r="O34" i="22" s="1"/>
  <c r="O35" i="22" s="1"/>
  <c r="O36" i="22" s="1"/>
  <c r="O37" i="22" s="1"/>
  <c r="O38" i="22" s="1"/>
  <c r="O39" i="22" s="1"/>
  <c r="O40" i="22" s="1"/>
  <c r="N14" i="22"/>
  <c r="N16" i="22" s="1"/>
  <c r="N32" i="22" s="1"/>
  <c r="N33" i="22" s="1"/>
  <c r="N34" i="22" s="1"/>
  <c r="N35" i="22" s="1"/>
  <c r="N36" i="22" s="1"/>
  <c r="N37" i="22" s="1"/>
  <c r="N38" i="22" s="1"/>
  <c r="N39" i="22" s="1"/>
  <c r="N40" i="22" s="1"/>
  <c r="M14" i="22"/>
  <c r="M16" i="22" s="1"/>
  <c r="M32" i="22" s="1"/>
  <c r="M33" i="22" s="1"/>
  <c r="M34" i="22" s="1"/>
  <c r="M35" i="22" s="1"/>
  <c r="M36" i="22" s="1"/>
  <c r="M37" i="22" s="1"/>
  <c r="M38" i="22" s="1"/>
  <c r="M39" i="22" s="1"/>
  <c r="M40" i="22" s="1"/>
  <c r="L14" i="22"/>
  <c r="L16" i="22" s="1"/>
  <c r="L32" i="22" s="1"/>
  <c r="L33" i="22" s="1"/>
  <c r="L34" i="22" s="1"/>
  <c r="L35" i="22" s="1"/>
  <c r="L36" i="22" s="1"/>
  <c r="L37" i="22" s="1"/>
  <c r="L38" i="22" s="1"/>
  <c r="L39" i="22" s="1"/>
  <c r="L40" i="22" s="1"/>
  <c r="K14" i="22"/>
  <c r="K16" i="22" s="1"/>
  <c r="K32" i="22" s="1"/>
  <c r="K33" i="22" s="1"/>
  <c r="K34" i="22" s="1"/>
  <c r="K35" i="22" s="1"/>
  <c r="K36" i="22" s="1"/>
  <c r="K37" i="22" s="1"/>
  <c r="K38" i="22" s="1"/>
  <c r="K39" i="22" s="1"/>
  <c r="K40" i="22" s="1"/>
  <c r="H14" i="22"/>
  <c r="H16" i="22" s="1"/>
  <c r="H32" i="22" s="1"/>
  <c r="H33" i="22" s="1"/>
  <c r="H34" i="22" s="1"/>
  <c r="H35" i="22" s="1"/>
  <c r="H36" i="22" s="1"/>
  <c r="H37" i="22" s="1"/>
  <c r="H38" i="22" s="1"/>
  <c r="H39" i="22" s="1"/>
  <c r="H40" i="22" s="1"/>
  <c r="G14" i="22"/>
  <c r="G16" i="22" s="1"/>
  <c r="G32" i="22" s="1"/>
  <c r="G33" i="22" s="1"/>
  <c r="G34" i="22" s="1"/>
  <c r="G35" i="22" s="1"/>
  <c r="G36" i="22" s="1"/>
  <c r="G37" i="22" s="1"/>
  <c r="G38" i="22" s="1"/>
  <c r="G39" i="22" s="1"/>
  <c r="G40" i="22" s="1"/>
  <c r="D14" i="22"/>
  <c r="D16" i="22" s="1"/>
  <c r="D32" i="22" s="1"/>
  <c r="D33" i="22" s="1"/>
  <c r="D34" i="22" s="1"/>
  <c r="D35" i="22" s="1"/>
  <c r="D36" i="22" s="1"/>
  <c r="D37" i="22" s="1"/>
  <c r="D38" i="22" s="1"/>
  <c r="D39" i="22" s="1"/>
  <c r="D40" i="22" s="1"/>
  <c r="C14" i="22"/>
  <c r="C16" i="22" s="1"/>
  <c r="C32" i="22" s="1"/>
  <c r="C33" i="22" s="1"/>
  <c r="C34" i="22" s="1"/>
  <c r="C35" i="22" s="1"/>
  <c r="C36" i="22" s="1"/>
  <c r="C37" i="22" s="1"/>
  <c r="C38" i="22" s="1"/>
  <c r="C39" i="22" s="1"/>
  <c r="C40" i="22" s="1"/>
  <c r="B14" i="22"/>
  <c r="B16" i="22" s="1"/>
  <c r="B32" i="22" s="1"/>
  <c r="B33" i="22" s="1"/>
  <c r="B34" i="22" s="1"/>
  <c r="B35" i="22" s="1"/>
  <c r="B36" i="22" s="1"/>
  <c r="B37" i="22" s="1"/>
  <c r="B38" i="22" s="1"/>
  <c r="B39" i="22" s="1"/>
  <c r="B40" i="22" s="1"/>
  <c r="J22" i="22" l="1"/>
  <c r="J21" i="22"/>
  <c r="J25" i="22"/>
  <c r="J23" i="22"/>
  <c r="J24" i="22"/>
  <c r="J26" i="22"/>
  <c r="J27" i="22"/>
  <c r="J16" i="22"/>
  <c r="J32" i="22" s="1"/>
  <c r="J33" i="22" s="1"/>
  <c r="J34" i="22" s="1"/>
  <c r="J35" i="22" s="1"/>
  <c r="J36" i="22" s="1"/>
  <c r="J37" i="22" s="1"/>
  <c r="J38" i="22" s="1"/>
  <c r="J39" i="22" s="1"/>
  <c r="J40" i="22" s="1"/>
  <c r="B28" i="21"/>
  <c r="B11" i="21"/>
  <c r="B78" i="21" l="1"/>
  <c r="B75" i="21"/>
  <c r="B72" i="21"/>
  <c r="B69" i="21"/>
  <c r="B68" i="21"/>
  <c r="B67" i="21"/>
  <c r="B66" i="21"/>
  <c r="B63" i="21"/>
  <c r="B62" i="21"/>
  <c r="B61" i="21"/>
  <c r="B60" i="21"/>
  <c r="B59" i="21"/>
  <c r="B56" i="21"/>
  <c r="B55" i="21"/>
  <c r="B52" i="21"/>
  <c r="B51" i="21"/>
  <c r="B48" i="21"/>
  <c r="B44" i="21"/>
  <c r="B43" i="21"/>
  <c r="B42" i="21"/>
  <c r="B41" i="21"/>
  <c r="B38" i="21"/>
  <c r="B37" i="21"/>
  <c r="B36" i="21"/>
  <c r="B35" i="21"/>
  <c r="B34" i="21"/>
  <c r="B33" i="21"/>
  <c r="B32" i="21"/>
  <c r="B31" i="21"/>
  <c r="B30" i="21"/>
  <c r="B29" i="21"/>
  <c r="B25" i="21"/>
  <c r="B24" i="21"/>
  <c r="B23" i="21"/>
  <c r="B22" i="21"/>
  <c r="B21" i="21"/>
  <c r="B20" i="21"/>
  <c r="B19" i="21"/>
  <c r="B18" i="21"/>
  <c r="B15" i="21"/>
  <c r="B4" i="21"/>
  <c r="B5" i="21"/>
  <c r="B6" i="21"/>
  <c r="B7" i="21"/>
  <c r="B8" i="21"/>
  <c r="B9" i="21"/>
  <c r="B10" i="21"/>
  <c r="B12" i="21"/>
  <c r="B13" i="21"/>
  <c r="B14" i="21"/>
  <c r="G49" i="19" l="1"/>
  <c r="E43" i="19"/>
  <c r="N37" i="19"/>
  <c r="N36" i="19"/>
  <c r="N38" i="19" s="1"/>
  <c r="C36" i="19"/>
  <c r="C38" i="19" s="1"/>
  <c r="C31" i="19"/>
  <c r="C30" i="19"/>
  <c r="C28" i="19"/>
  <c r="C32" i="19" s="1"/>
  <c r="M27" i="19"/>
  <c r="M26" i="19" s="1"/>
  <c r="C26" i="19"/>
  <c r="C21" i="19"/>
  <c r="M20" i="19"/>
  <c r="E20" i="19"/>
  <c r="C20" i="19"/>
  <c r="C19" i="19"/>
  <c r="T16" i="19"/>
  <c r="T20" i="19" s="1"/>
  <c r="S16" i="19"/>
  <c r="S20" i="19" s="1"/>
  <c r="R16" i="19"/>
  <c r="R20" i="19" s="1"/>
  <c r="Q16" i="19"/>
  <c r="Q20" i="19" s="1"/>
  <c r="P16" i="19"/>
  <c r="P20" i="19" s="1"/>
  <c r="O16" i="19"/>
  <c r="O15" i="19" s="1"/>
  <c r="O19" i="19" s="1"/>
  <c r="N16" i="19"/>
  <c r="N20" i="19" s="1"/>
  <c r="M16" i="19"/>
  <c r="L16" i="19"/>
  <c r="L20" i="19" s="1"/>
  <c r="K16" i="19"/>
  <c r="K20" i="19" s="1"/>
  <c r="J16" i="19"/>
  <c r="J20" i="19" s="1"/>
  <c r="I16" i="19"/>
  <c r="I20" i="19" s="1"/>
  <c r="H16" i="19"/>
  <c r="H20" i="19" s="1"/>
  <c r="G16" i="19"/>
  <c r="G15" i="19" s="1"/>
  <c r="G19" i="19" s="1"/>
  <c r="F16" i="19"/>
  <c r="F20" i="19" s="1"/>
  <c r="E16" i="19"/>
  <c r="T15" i="19"/>
  <c r="T19" i="19" s="1"/>
  <c r="S15" i="19"/>
  <c r="S19" i="19" s="1"/>
  <c r="R15" i="19"/>
  <c r="R17" i="19" s="1"/>
  <c r="R21" i="19" s="1"/>
  <c r="Q15" i="19"/>
  <c r="Q17" i="19" s="1"/>
  <c r="Q21" i="19" s="1"/>
  <c r="P15" i="19"/>
  <c r="P19" i="19" s="1"/>
  <c r="N15" i="19"/>
  <c r="N19" i="19" s="1"/>
  <c r="M15" i="19"/>
  <c r="M19" i="19" s="1"/>
  <c r="L15" i="19"/>
  <c r="L19" i="19" s="1"/>
  <c r="K15" i="19"/>
  <c r="K19" i="19" s="1"/>
  <c r="J15" i="19"/>
  <c r="J19" i="19" s="1"/>
  <c r="I15" i="19"/>
  <c r="I19" i="19" s="1"/>
  <c r="H15" i="19"/>
  <c r="H19" i="19" s="1"/>
  <c r="E15" i="19"/>
  <c r="E19" i="19" s="1"/>
  <c r="C12" i="19"/>
  <c r="C11" i="19"/>
  <c r="C10" i="19"/>
  <c r="T7" i="19"/>
  <c r="T11" i="19" s="1"/>
  <c r="S7" i="19"/>
  <c r="S11" i="19" s="1"/>
  <c r="R7" i="19"/>
  <c r="R6" i="19" s="1"/>
  <c r="Q7" i="19"/>
  <c r="Q11" i="19" s="1"/>
  <c r="P7" i="19"/>
  <c r="P11" i="19" s="1"/>
  <c r="O7" i="19"/>
  <c r="O11" i="19" s="1"/>
  <c r="N7" i="19"/>
  <c r="N11" i="19" s="1"/>
  <c r="M7" i="19"/>
  <c r="M11" i="19" s="1"/>
  <c r="L7" i="19"/>
  <c r="L11" i="19" s="1"/>
  <c r="K7" i="19"/>
  <c r="K11" i="19" s="1"/>
  <c r="J7" i="19"/>
  <c r="J11" i="19" s="1"/>
  <c r="I7" i="19"/>
  <c r="I6" i="19" s="1"/>
  <c r="I10" i="19" s="1"/>
  <c r="H7" i="19"/>
  <c r="H11" i="19" s="1"/>
  <c r="G7" i="19"/>
  <c r="G11" i="19" s="1"/>
  <c r="F7" i="19"/>
  <c r="F11" i="19" s="1"/>
  <c r="E7" i="19"/>
  <c r="E11" i="19" s="1"/>
  <c r="T6" i="19"/>
  <c r="T10" i="19" s="1"/>
  <c r="S6" i="19"/>
  <c r="S10" i="19" s="1"/>
  <c r="Q6" i="19"/>
  <c r="Q10" i="19" s="1"/>
  <c r="P6" i="19"/>
  <c r="P8" i="19" s="1"/>
  <c r="P12" i="19" s="1"/>
  <c r="O6" i="19"/>
  <c r="O10" i="19" s="1"/>
  <c r="N6" i="19"/>
  <c r="N8" i="19" s="1"/>
  <c r="N12" i="19" s="1"/>
  <c r="M6" i="19"/>
  <c r="M10" i="19" s="1"/>
  <c r="L6" i="19"/>
  <c r="L10" i="19" s="1"/>
  <c r="K6" i="19"/>
  <c r="K10" i="19" s="1"/>
  <c r="J6" i="19"/>
  <c r="J8" i="19" s="1"/>
  <c r="J12" i="19" s="1"/>
  <c r="H6" i="19"/>
  <c r="H8" i="19" s="1"/>
  <c r="H12" i="19" s="1"/>
  <c r="G6" i="19"/>
  <c r="G10" i="19" s="1"/>
  <c r="F6" i="19"/>
  <c r="F10" i="19" s="1"/>
  <c r="E6" i="19"/>
  <c r="E8" i="19" s="1"/>
  <c r="E12" i="19" s="1"/>
  <c r="R8" i="19" l="1"/>
  <c r="R12" i="19" s="1"/>
  <c r="R10" i="19"/>
  <c r="I11" i="19"/>
  <c r="G20" i="19"/>
  <c r="F15" i="19"/>
  <c r="F19" i="19" s="1"/>
  <c r="O20" i="19"/>
  <c r="H10" i="19"/>
  <c r="R11" i="19"/>
  <c r="J10" i="19"/>
  <c r="P10" i="19"/>
  <c r="M28" i="19"/>
  <c r="M30" i="19"/>
  <c r="M32" i="19" s="1"/>
  <c r="S8" i="19"/>
  <c r="S12" i="19" s="1"/>
  <c r="H17" i="19"/>
  <c r="H21" i="19" s="1"/>
  <c r="L8" i="19"/>
  <c r="L12" i="19" s="1"/>
  <c r="I17" i="19"/>
  <c r="I21" i="19" s="1"/>
  <c r="Q19" i="19"/>
  <c r="J17" i="19"/>
  <c r="J21" i="19" s="1"/>
  <c r="R19" i="19"/>
  <c r="F8" i="19"/>
  <c r="F12" i="19" s="1"/>
  <c r="E10" i="19"/>
  <c r="S17" i="19"/>
  <c r="S21" i="19" s="1"/>
  <c r="G8" i="19"/>
  <c r="G12" i="19" s="1"/>
  <c r="O8" i="19"/>
  <c r="O12" i="19" s="1"/>
  <c r="N10" i="19"/>
  <c r="L17" i="19"/>
  <c r="L21" i="19" s="1"/>
  <c r="E17" i="19"/>
  <c r="E21" i="19" s="1"/>
  <c r="M17" i="19"/>
  <c r="M21" i="19" s="1"/>
  <c r="K8" i="19"/>
  <c r="K12" i="19" s="1"/>
  <c r="P17" i="19"/>
  <c r="P21" i="19" s="1"/>
  <c r="T8" i="19"/>
  <c r="T12" i="19" s="1"/>
  <c r="M8" i="19"/>
  <c r="M12" i="19" s="1"/>
  <c r="K17" i="19"/>
  <c r="K21" i="19" s="1"/>
  <c r="I8" i="19"/>
  <c r="I12" i="19" s="1"/>
  <c r="Q8" i="19"/>
  <c r="Q12" i="19" s="1"/>
  <c r="F17" i="19"/>
  <c r="F21" i="19" s="1"/>
  <c r="N17" i="19"/>
  <c r="N21" i="19" s="1"/>
  <c r="M31" i="19"/>
  <c r="G17" i="19"/>
  <c r="G21" i="19" s="1"/>
  <c r="O17" i="19"/>
  <c r="O21" i="19" s="1"/>
  <c r="N33" i="1" l="1"/>
  <c r="D28" i="29" s="1"/>
  <c r="O9" i="1" l="1"/>
  <c r="O10" i="1"/>
  <c r="O11" i="1"/>
  <c r="O12" i="1"/>
  <c r="O13" i="1"/>
  <c r="O14" i="1"/>
  <c r="O15" i="1"/>
  <c r="O16" i="1"/>
  <c r="O17" i="1"/>
  <c r="O18" i="1"/>
  <c r="O19" i="1"/>
  <c r="O20" i="1"/>
  <c r="O21" i="1"/>
  <c r="O22" i="1"/>
  <c r="O23" i="1"/>
  <c r="O24" i="1"/>
  <c r="O97" i="17" l="1"/>
  <c r="O97" i="16"/>
  <c r="O97" i="14"/>
  <c r="O92" i="14"/>
  <c r="O93" i="14"/>
  <c r="O94" i="14"/>
  <c r="O97" i="13"/>
  <c r="O97" i="11"/>
  <c r="O96" i="11"/>
  <c r="N95" i="1" l="1"/>
  <c r="N94" i="1"/>
  <c r="N28" i="1" l="1"/>
  <c r="D23" i="29" s="1"/>
  <c r="N10" i="1"/>
  <c r="N11" i="1"/>
  <c r="N12" i="1"/>
  <c r="N13" i="1"/>
  <c r="N14" i="1"/>
  <c r="N15" i="1"/>
  <c r="N16" i="1"/>
  <c r="N17" i="1"/>
  <c r="N18" i="1"/>
  <c r="N19" i="1"/>
  <c r="N20" i="1"/>
  <c r="N21" i="1"/>
  <c r="N22" i="1"/>
  <c r="N23" i="1"/>
  <c r="N24" i="1"/>
  <c r="N9" i="1"/>
  <c r="D12" i="29" l="1"/>
  <c r="C12" i="25"/>
  <c r="D19" i="29"/>
  <c r="C19" i="25"/>
  <c r="D17" i="29"/>
  <c r="C17" i="25"/>
  <c r="D16" i="29"/>
  <c r="C16" i="25"/>
  <c r="D18" i="29"/>
  <c r="C18" i="25"/>
  <c r="D14" i="29"/>
  <c r="C14" i="25"/>
  <c r="D20" i="29"/>
  <c r="C20" i="25"/>
  <c r="D15" i="29"/>
  <c r="C15" i="25"/>
  <c r="D13" i="29"/>
  <c r="C13" i="25"/>
  <c r="D11" i="29"/>
  <c r="C11" i="25"/>
  <c r="D10" i="29"/>
  <c r="C10" i="25"/>
  <c r="D9" i="29"/>
  <c r="C9" i="25"/>
  <c r="D8" i="29"/>
  <c r="C8" i="25"/>
  <c r="D7" i="29"/>
  <c r="C7" i="25"/>
  <c r="D6" i="29"/>
  <c r="C6" i="25"/>
  <c r="D5" i="29"/>
  <c r="C5" i="25"/>
  <c r="N32" i="1"/>
  <c r="D27" i="29" s="1"/>
  <c r="N31" i="1"/>
  <c r="N86" i="1" s="1"/>
  <c r="N29" i="1"/>
  <c r="D24" i="29" s="1"/>
  <c r="D26" i="29" l="1"/>
  <c r="D29" i="29" s="1"/>
  <c r="D52" i="29"/>
  <c r="D54" i="29" s="1"/>
  <c r="AH32" i="1"/>
  <c r="D21" i="29"/>
  <c r="AH31" i="1"/>
  <c r="AH30" i="1"/>
  <c r="O100" i="16"/>
  <c r="O100" i="14"/>
  <c r="O100" i="13"/>
  <c r="C32" i="25" l="1"/>
  <c r="H95" i="1"/>
  <c r="I110" i="16" l="1"/>
  <c r="I110" i="13"/>
  <c r="I110" i="17"/>
  <c r="I110" i="11"/>
  <c r="I110" i="14"/>
  <c r="B110" i="17"/>
  <c r="J11" i="17"/>
  <c r="L12" i="17"/>
  <c r="J13" i="17"/>
  <c r="J14" i="17"/>
  <c r="K15" i="17"/>
  <c r="L15" i="17"/>
  <c r="J16" i="17"/>
  <c r="J17" i="17"/>
  <c r="J18" i="17"/>
  <c r="K19" i="17"/>
  <c r="L19" i="17"/>
  <c r="J20" i="17"/>
  <c r="J21" i="17"/>
  <c r="K22" i="17"/>
  <c r="L22" i="17"/>
  <c r="J23" i="17"/>
  <c r="J24" i="17"/>
  <c r="J25" i="17"/>
  <c r="B110" i="16"/>
  <c r="J11" i="16"/>
  <c r="L11" i="16"/>
  <c r="L12" i="16"/>
  <c r="J13" i="16"/>
  <c r="L13" i="16"/>
  <c r="J14" i="16"/>
  <c r="L14" i="16"/>
  <c r="K15" i="16"/>
  <c r="L15" i="16"/>
  <c r="J16" i="16"/>
  <c r="L16" i="16"/>
  <c r="J17" i="16"/>
  <c r="L17" i="16"/>
  <c r="J18" i="16"/>
  <c r="L18" i="16"/>
  <c r="K19" i="16"/>
  <c r="L19" i="16"/>
  <c r="J20" i="16"/>
  <c r="L20" i="16"/>
  <c r="J21" i="16"/>
  <c r="L21" i="16"/>
  <c r="K22" i="16"/>
  <c r="L22" i="16"/>
  <c r="J23" i="16"/>
  <c r="L23" i="16"/>
  <c r="J24" i="16"/>
  <c r="L24" i="16"/>
  <c r="J25" i="16"/>
  <c r="L25" i="16"/>
  <c r="L10" i="16"/>
  <c r="B110" i="14"/>
  <c r="J11" i="14"/>
  <c r="L12" i="14"/>
  <c r="J13" i="14"/>
  <c r="J14" i="14"/>
  <c r="K15" i="14"/>
  <c r="L15" i="14"/>
  <c r="J16" i="14"/>
  <c r="J17" i="14"/>
  <c r="J18" i="14"/>
  <c r="K19" i="14"/>
  <c r="L19" i="14"/>
  <c r="J20" i="14"/>
  <c r="J21" i="14"/>
  <c r="K22" i="14"/>
  <c r="L22" i="14"/>
  <c r="J23" i="14"/>
  <c r="J24" i="14"/>
  <c r="J25" i="14"/>
  <c r="B110" i="13" l="1"/>
  <c r="L25" i="13"/>
  <c r="J25" i="13"/>
  <c r="L24" i="13"/>
  <c r="J24" i="13"/>
  <c r="L23" i="13"/>
  <c r="J23" i="13"/>
  <c r="L22" i="13"/>
  <c r="K22" i="13"/>
  <c r="L21" i="13"/>
  <c r="J21" i="13"/>
  <c r="L20" i="13"/>
  <c r="J20" i="13"/>
  <c r="L19" i="13"/>
  <c r="K19" i="13"/>
  <c r="L18" i="13"/>
  <c r="J18" i="13"/>
  <c r="L17" i="13"/>
  <c r="J17" i="13"/>
  <c r="L16" i="13"/>
  <c r="J16" i="13"/>
  <c r="L15" i="13"/>
  <c r="K15" i="13"/>
  <c r="L14" i="13"/>
  <c r="J14" i="13"/>
  <c r="L13" i="13"/>
  <c r="J13" i="13"/>
  <c r="L12" i="13"/>
  <c r="L11" i="13"/>
  <c r="J11" i="13"/>
  <c r="L10" i="13"/>
  <c r="B110" i="11"/>
  <c r="L25" i="11"/>
  <c r="L24" i="11"/>
  <c r="L23" i="11"/>
  <c r="L22" i="11"/>
  <c r="K22" i="11"/>
  <c r="L21" i="11"/>
  <c r="L20" i="11"/>
  <c r="L19" i="11"/>
  <c r="K19" i="11"/>
  <c r="L18" i="11"/>
  <c r="L17" i="11"/>
  <c r="L16" i="11"/>
  <c r="L15" i="11"/>
  <c r="K15" i="11"/>
  <c r="L14" i="11"/>
  <c r="L13" i="11"/>
  <c r="L12" i="11"/>
  <c r="L11" i="11"/>
  <c r="J25" i="11"/>
  <c r="J24" i="11"/>
  <c r="J23" i="11"/>
  <c r="J21" i="11"/>
  <c r="J20" i="11"/>
  <c r="J18" i="11"/>
  <c r="J17" i="11"/>
  <c r="J16" i="11"/>
  <c r="J14" i="11"/>
  <c r="J13" i="11"/>
  <c r="J11" i="11"/>
  <c r="L10" i="11"/>
  <c r="AB24" i="10" l="1"/>
  <c r="AB23" i="10"/>
  <c r="AB22" i="10"/>
  <c r="AB21" i="10"/>
  <c r="AB20" i="10"/>
  <c r="AB19" i="10"/>
  <c r="AB18" i="10"/>
  <c r="AB17" i="10"/>
  <c r="AB16" i="10"/>
  <c r="AB15" i="10"/>
  <c r="AB14" i="10"/>
  <c r="AB13" i="10"/>
  <c r="AB12" i="10"/>
  <c r="AB11" i="10"/>
  <c r="AB10" i="10"/>
  <c r="AB9" i="10"/>
  <c r="F95" i="1"/>
  <c r="L11" i="8" l="1"/>
  <c r="N11" i="8" s="1"/>
  <c r="AB10" i="1" l="1"/>
  <c r="AG10" i="1" s="1"/>
  <c r="AB11" i="1"/>
  <c r="AB12" i="1"/>
  <c r="AG12" i="1" s="1"/>
  <c r="AB13" i="1"/>
  <c r="AB14" i="1"/>
  <c r="AB15" i="1"/>
  <c r="AG15" i="1" s="1"/>
  <c r="AB16" i="1"/>
  <c r="AG16" i="1" s="1"/>
  <c r="AB17" i="1"/>
  <c r="AG17" i="1" s="1"/>
  <c r="AB18" i="1"/>
  <c r="AB19" i="1"/>
  <c r="AG19" i="1" s="1"/>
  <c r="AB20" i="1"/>
  <c r="AG20" i="1" s="1"/>
  <c r="AB21" i="1"/>
  <c r="AB22" i="1"/>
  <c r="AG22" i="1" s="1"/>
  <c r="AB23" i="1"/>
  <c r="AG23" i="1" s="1"/>
  <c r="AB24" i="1"/>
  <c r="AG24" i="1" s="1"/>
  <c r="AB9" i="1"/>
  <c r="K12" i="13" l="1"/>
  <c r="K12" i="11"/>
  <c r="J10" i="13"/>
  <c r="J10" i="11"/>
  <c r="K25" i="13"/>
  <c r="K25" i="11"/>
  <c r="K23" i="13"/>
  <c r="K23" i="11"/>
  <c r="K21" i="13"/>
  <c r="K21" i="11"/>
  <c r="J19" i="13"/>
  <c r="J19" i="11"/>
  <c r="K17" i="13"/>
  <c r="K17" i="11"/>
  <c r="J15" i="13"/>
  <c r="J15" i="11"/>
  <c r="K13" i="13"/>
  <c r="K13" i="11"/>
  <c r="K11" i="13"/>
  <c r="K11" i="11"/>
  <c r="K24" i="11"/>
  <c r="K24" i="13"/>
  <c r="J22" i="13"/>
  <c r="J22" i="11"/>
  <c r="K20" i="11"/>
  <c r="K20" i="13"/>
  <c r="K18" i="11"/>
  <c r="K18" i="13"/>
  <c r="K16" i="11"/>
  <c r="K16" i="13"/>
  <c r="K14" i="11"/>
  <c r="K14" i="13"/>
  <c r="J12" i="13"/>
  <c r="J12" i="11"/>
  <c r="K10" i="11"/>
  <c r="K10" i="13"/>
  <c r="BQ12" i="10"/>
  <c r="BQ11" i="10"/>
  <c r="BM26" i="10"/>
  <c r="BM25" i="10"/>
  <c r="BM24" i="10"/>
  <c r="BM23" i="10"/>
  <c r="BM22" i="10"/>
  <c r="BM21" i="10"/>
  <c r="BM20" i="10"/>
  <c r="BM19" i="10"/>
  <c r="BM18" i="10"/>
  <c r="BM17" i="10"/>
  <c r="BM16" i="10"/>
  <c r="BM15" i="10"/>
  <c r="BM14" i="10"/>
  <c r="BM13" i="10"/>
  <c r="BM12" i="10"/>
  <c r="BM11" i="10"/>
  <c r="BO10" i="10"/>
  <c r="BN10" i="10"/>
  <c r="BM10" i="10"/>
  <c r="BL12" i="10"/>
  <c r="BL11" i="10"/>
  <c r="BK11" i="10"/>
  <c r="BS10" i="10"/>
  <c r="BQ10" i="10"/>
  <c r="BP10" i="10"/>
  <c r="BL10" i="10"/>
  <c r="BK10" i="10"/>
  <c r="BS9" i="10"/>
  <c r="BQ9" i="10"/>
  <c r="BP9" i="10"/>
  <c r="BO9" i="10"/>
  <c r="BN9" i="10"/>
  <c r="BM9" i="10"/>
  <c r="BL9" i="10"/>
  <c r="BK9" i="10"/>
  <c r="BO10" i="1"/>
  <c r="BO11" i="1" s="1"/>
  <c r="BO12" i="1" s="1"/>
  <c r="BO13" i="1" s="1"/>
  <c r="BO14" i="1" s="1"/>
  <c r="BO15" i="1" s="1"/>
  <c r="BO16" i="1" s="1"/>
  <c r="BO17" i="1" s="1"/>
  <c r="BO18" i="1" s="1"/>
  <c r="BO19" i="1" s="1"/>
  <c r="BO20" i="1" s="1"/>
  <c r="BO21" i="1" s="1"/>
  <c r="BO22" i="1" s="1"/>
  <c r="BO23" i="1" s="1"/>
  <c r="BO24" i="1" s="1"/>
  <c r="BO26" i="10" s="1"/>
  <c r="BN13" i="1" l="1"/>
  <c r="BN14" i="1" s="1"/>
  <c r="BN15" i="1" s="1"/>
  <c r="BN16" i="1" s="1"/>
  <c r="BN17" i="1" s="1"/>
  <c r="BN18" i="1" s="1"/>
  <c r="BN19" i="1" s="1"/>
  <c r="BN20" i="1" s="1"/>
  <c r="BN21" i="1" s="1"/>
  <c r="BN22" i="1" s="1"/>
  <c r="BN23" i="1" s="1"/>
  <c r="BN24" i="1" s="1"/>
  <c r="BN26" i="10" s="1"/>
  <c r="L39" i="10"/>
  <c r="BO11" i="10"/>
  <c r="BO12" i="10"/>
  <c r="BO13" i="10"/>
  <c r="BO14" i="10"/>
  <c r="BO15" i="10"/>
  <c r="BO16" i="10"/>
  <c r="BO17" i="10"/>
  <c r="BO18" i="10"/>
  <c r="BO19" i="10"/>
  <c r="BO20" i="10"/>
  <c r="BO21" i="10"/>
  <c r="BO22" i="10"/>
  <c r="BO23" i="10"/>
  <c r="BO24" i="10"/>
  <c r="BO25" i="10"/>
  <c r="BN12" i="10"/>
  <c r="BN11" i="10"/>
  <c r="AC17" i="1"/>
  <c r="P24" i="1"/>
  <c r="S24" i="1" s="1"/>
  <c r="P23" i="1"/>
  <c r="S23" i="1" s="1"/>
  <c r="P22" i="1"/>
  <c r="S22" i="1" s="1"/>
  <c r="P21" i="1"/>
  <c r="S21" i="1" s="1"/>
  <c r="V21" i="1" s="1"/>
  <c r="P20" i="1"/>
  <c r="S20" i="1" s="1"/>
  <c r="P19" i="1"/>
  <c r="S19" i="1" s="1"/>
  <c r="P18" i="1"/>
  <c r="S18" i="1" s="1"/>
  <c r="V18" i="1" s="1"/>
  <c r="P17" i="1"/>
  <c r="S17" i="1" s="1"/>
  <c r="P16" i="1"/>
  <c r="S16" i="1" s="1"/>
  <c r="P15" i="1"/>
  <c r="S15" i="1" s="1"/>
  <c r="P14" i="1"/>
  <c r="S14" i="1" s="1"/>
  <c r="V14" i="1" s="1"/>
  <c r="P13" i="1"/>
  <c r="S13" i="1" s="1"/>
  <c r="P12" i="1"/>
  <c r="S12" i="1" s="1"/>
  <c r="P11" i="1"/>
  <c r="S11" i="1" s="1"/>
  <c r="V11" i="1" s="1"/>
  <c r="P10" i="1"/>
  <c r="S10" i="1" s="1"/>
  <c r="BN19" i="10" l="1"/>
  <c r="BN14" i="10"/>
  <c r="BN15" i="10"/>
  <c r="BN13" i="10"/>
  <c r="BN24" i="10"/>
  <c r="BN25" i="10"/>
  <c r="BN22" i="10"/>
  <c r="BN23" i="10"/>
  <c r="BN20" i="10"/>
  <c r="BN21" i="10"/>
  <c r="BN18" i="10"/>
  <c r="BN17" i="10"/>
  <c r="BN16" i="10"/>
  <c r="V10" i="1"/>
  <c r="L11" i="14"/>
  <c r="V12" i="1"/>
  <c r="L13" i="14"/>
  <c r="V16" i="1"/>
  <c r="L17" i="14"/>
  <c r="V20" i="1"/>
  <c r="L21" i="14"/>
  <c r="V22" i="1"/>
  <c r="L23" i="14"/>
  <c r="V24" i="1"/>
  <c r="L25" i="14"/>
  <c r="V13" i="1"/>
  <c r="L14" i="14"/>
  <c r="V15" i="1"/>
  <c r="L16" i="14"/>
  <c r="V17" i="1"/>
  <c r="L18" i="14"/>
  <c r="V19" i="1"/>
  <c r="L20" i="14"/>
  <c r="V23" i="1"/>
  <c r="L24" i="14"/>
  <c r="R17" i="1"/>
  <c r="AB32" i="1"/>
  <c r="AD17" i="1" l="1"/>
  <c r="K18" i="14" s="1"/>
  <c r="O100" i="17"/>
  <c r="O96" i="17"/>
  <c r="O95" i="17"/>
  <c r="O94" i="17"/>
  <c r="O93" i="17"/>
  <c r="O92" i="17"/>
  <c r="O82" i="17"/>
  <c r="O81" i="17"/>
  <c r="O80" i="17"/>
  <c r="O79" i="17"/>
  <c r="O74" i="17"/>
  <c r="O73" i="17"/>
  <c r="O66" i="17"/>
  <c r="O96" i="16" l="1"/>
  <c r="O95" i="16"/>
  <c r="O94" i="16"/>
  <c r="O93" i="16"/>
  <c r="O92" i="16"/>
  <c r="O82" i="16"/>
  <c r="O81" i="16"/>
  <c r="O80" i="16"/>
  <c r="O79" i="16"/>
  <c r="O74" i="16"/>
  <c r="O73" i="16"/>
  <c r="O66" i="16"/>
  <c r="O96" i="14" l="1"/>
  <c r="O95" i="14"/>
  <c r="O82" i="14"/>
  <c r="O81" i="14"/>
  <c r="O80" i="14"/>
  <c r="O79" i="14"/>
  <c r="O74" i="14"/>
  <c r="O73" i="14"/>
  <c r="O66" i="14"/>
  <c r="O96" i="13" l="1"/>
  <c r="O95" i="13"/>
  <c r="O94" i="13"/>
  <c r="O93" i="13"/>
  <c r="O92" i="13"/>
  <c r="O82" i="13"/>
  <c r="O81" i="13"/>
  <c r="O80" i="13"/>
  <c r="O79" i="13"/>
  <c r="O74" i="13"/>
  <c r="O73" i="13"/>
  <c r="O66" i="13"/>
  <c r="O100" i="11" l="1"/>
  <c r="C27" i="12" l="1"/>
  <c r="C17" i="12" l="1"/>
  <c r="C12" i="12"/>
  <c r="O75" i="17"/>
  <c r="B99" i="17"/>
  <c r="I51" i="17"/>
  <c r="I89" i="17" s="1"/>
  <c r="O43" i="17"/>
  <c r="O42" i="17"/>
  <c r="O41" i="17"/>
  <c r="O40" i="17"/>
  <c r="B39" i="17"/>
  <c r="B38" i="17"/>
  <c r="B36" i="17"/>
  <c r="B35" i="17"/>
  <c r="B34" i="17"/>
  <c r="H25" i="17"/>
  <c r="E25" i="17"/>
  <c r="C25" i="17"/>
  <c r="H24" i="17"/>
  <c r="E24" i="17"/>
  <c r="C24" i="17"/>
  <c r="H23" i="17"/>
  <c r="E23" i="17"/>
  <c r="C23" i="17"/>
  <c r="H22" i="17"/>
  <c r="E22" i="17"/>
  <c r="C22" i="17"/>
  <c r="H21" i="17"/>
  <c r="E21" i="17"/>
  <c r="C21" i="17"/>
  <c r="H20" i="17"/>
  <c r="E20" i="17"/>
  <c r="C20" i="17"/>
  <c r="H19" i="17"/>
  <c r="E19" i="17"/>
  <c r="C19" i="17"/>
  <c r="H18" i="17"/>
  <c r="E18" i="17"/>
  <c r="C18" i="17"/>
  <c r="H17" i="17"/>
  <c r="E17" i="17"/>
  <c r="C17" i="17"/>
  <c r="H16" i="17"/>
  <c r="E16" i="17"/>
  <c r="C16" i="17"/>
  <c r="H15" i="17"/>
  <c r="E15" i="17"/>
  <c r="C15" i="17"/>
  <c r="H14" i="17"/>
  <c r="E14" i="17"/>
  <c r="C14" i="17"/>
  <c r="H13" i="17"/>
  <c r="E13" i="17"/>
  <c r="C13" i="17"/>
  <c r="H12" i="17"/>
  <c r="E12" i="17"/>
  <c r="C12" i="17"/>
  <c r="H11" i="17"/>
  <c r="E11" i="17"/>
  <c r="C11" i="17"/>
  <c r="H10" i="17"/>
  <c r="E10" i="17"/>
  <c r="C10" i="17"/>
  <c r="O83" i="16"/>
  <c r="O75" i="16"/>
  <c r="B99" i="16"/>
  <c r="I51" i="16"/>
  <c r="I89" i="16" s="1"/>
  <c r="O43" i="16"/>
  <c r="O42" i="16"/>
  <c r="O41" i="16"/>
  <c r="O40" i="16"/>
  <c r="B39" i="16"/>
  <c r="B38" i="16"/>
  <c r="B36" i="16"/>
  <c r="B35" i="16"/>
  <c r="B34" i="16"/>
  <c r="H25" i="16"/>
  <c r="E25" i="16"/>
  <c r="C25" i="16"/>
  <c r="H24" i="16"/>
  <c r="E24" i="16"/>
  <c r="C24" i="16"/>
  <c r="H23" i="16"/>
  <c r="E23" i="16"/>
  <c r="C23" i="16"/>
  <c r="H22" i="16"/>
  <c r="E22" i="16"/>
  <c r="C22" i="16"/>
  <c r="H21" i="16"/>
  <c r="E21" i="16"/>
  <c r="C21" i="16"/>
  <c r="H20" i="16"/>
  <c r="E20" i="16"/>
  <c r="C20" i="16"/>
  <c r="H19" i="16"/>
  <c r="E19" i="16"/>
  <c r="C19" i="16"/>
  <c r="H18" i="16"/>
  <c r="E18" i="16"/>
  <c r="C18" i="16"/>
  <c r="H17" i="16"/>
  <c r="E17" i="16"/>
  <c r="C17" i="16"/>
  <c r="H16" i="16"/>
  <c r="E16" i="16"/>
  <c r="C16" i="16"/>
  <c r="H15" i="16"/>
  <c r="E15" i="16"/>
  <c r="C15" i="16"/>
  <c r="H14" i="16"/>
  <c r="E14" i="16"/>
  <c r="C14" i="16"/>
  <c r="H13" i="16"/>
  <c r="E13" i="16"/>
  <c r="C13" i="16"/>
  <c r="H12" i="16"/>
  <c r="E12" i="16"/>
  <c r="C12" i="16"/>
  <c r="H11" i="16"/>
  <c r="E11" i="16"/>
  <c r="C11" i="16"/>
  <c r="H10" i="16"/>
  <c r="E10" i="16"/>
  <c r="C10" i="16"/>
  <c r="I51" i="14"/>
  <c r="I89" i="14" s="1"/>
  <c r="I51" i="13"/>
  <c r="I89" i="13" s="1"/>
  <c r="O83" i="14"/>
  <c r="B99" i="14"/>
  <c r="O43" i="14"/>
  <c r="O42" i="14"/>
  <c r="O41" i="14"/>
  <c r="O40" i="14"/>
  <c r="B39" i="14"/>
  <c r="B38" i="14"/>
  <c r="B36" i="14"/>
  <c r="B35" i="14"/>
  <c r="B34" i="14"/>
  <c r="H25" i="14"/>
  <c r="E25" i="14"/>
  <c r="C25" i="14"/>
  <c r="H24" i="14"/>
  <c r="E24" i="14"/>
  <c r="C24" i="14"/>
  <c r="H23" i="14"/>
  <c r="E23" i="14"/>
  <c r="C23" i="14"/>
  <c r="H22" i="14"/>
  <c r="E22" i="14"/>
  <c r="C22" i="14"/>
  <c r="H21" i="14"/>
  <c r="E21" i="14"/>
  <c r="C21" i="14"/>
  <c r="H20" i="14"/>
  <c r="E20" i="14"/>
  <c r="C20" i="14"/>
  <c r="H19" i="14"/>
  <c r="E19" i="14"/>
  <c r="C19" i="14"/>
  <c r="H18" i="14"/>
  <c r="E18" i="14"/>
  <c r="C18" i="14"/>
  <c r="H17" i="14"/>
  <c r="E17" i="14"/>
  <c r="C17" i="14"/>
  <c r="H16" i="14"/>
  <c r="E16" i="14"/>
  <c r="C16" i="14"/>
  <c r="H15" i="14"/>
  <c r="E15" i="14"/>
  <c r="C15" i="14"/>
  <c r="H14" i="14"/>
  <c r="E14" i="14"/>
  <c r="C14" i="14"/>
  <c r="H13" i="14"/>
  <c r="E13" i="14"/>
  <c r="C13" i="14"/>
  <c r="H12" i="14"/>
  <c r="E12" i="14"/>
  <c r="C12" i="14"/>
  <c r="H11" i="14"/>
  <c r="E11" i="14"/>
  <c r="C11" i="14"/>
  <c r="H10" i="14"/>
  <c r="E10" i="14"/>
  <c r="C10" i="14"/>
  <c r="O75" i="13"/>
  <c r="F5" i="13"/>
  <c r="F51" i="13" s="1"/>
  <c r="F89" i="13" s="1"/>
  <c r="C5" i="13"/>
  <c r="C51" i="13" s="1"/>
  <c r="C89" i="13" s="1"/>
  <c r="B99" i="13"/>
  <c r="O83" i="13"/>
  <c r="O43" i="13"/>
  <c r="O42" i="13"/>
  <c r="O41" i="13"/>
  <c r="O40" i="13"/>
  <c r="B39" i="13"/>
  <c r="B38" i="13"/>
  <c r="B36" i="13"/>
  <c r="B35" i="13"/>
  <c r="B34" i="13"/>
  <c r="H25" i="13"/>
  <c r="E25" i="13"/>
  <c r="C25" i="13"/>
  <c r="H24" i="13"/>
  <c r="E24" i="13"/>
  <c r="C24" i="13"/>
  <c r="H23" i="13"/>
  <c r="E23" i="13"/>
  <c r="C23" i="13"/>
  <c r="H22" i="13"/>
  <c r="E22" i="13"/>
  <c r="C22" i="13"/>
  <c r="H21" i="13"/>
  <c r="E21" i="13"/>
  <c r="C21" i="13"/>
  <c r="H20" i="13"/>
  <c r="E20" i="13"/>
  <c r="C20" i="13"/>
  <c r="H19" i="13"/>
  <c r="E19" i="13"/>
  <c r="C19" i="13"/>
  <c r="H18" i="13"/>
  <c r="E18" i="13"/>
  <c r="C18" i="13"/>
  <c r="H17" i="13"/>
  <c r="E17" i="13"/>
  <c r="C17" i="13"/>
  <c r="H16" i="13"/>
  <c r="E16" i="13"/>
  <c r="C16" i="13"/>
  <c r="H15" i="13"/>
  <c r="E15" i="13"/>
  <c r="C15" i="13"/>
  <c r="H14" i="13"/>
  <c r="E14" i="13"/>
  <c r="C14" i="13"/>
  <c r="H13" i="13"/>
  <c r="E13" i="13"/>
  <c r="C13" i="13"/>
  <c r="H12" i="13"/>
  <c r="E12" i="13"/>
  <c r="C12" i="13"/>
  <c r="H11" i="13"/>
  <c r="E11" i="13"/>
  <c r="C11" i="13"/>
  <c r="H10" i="13"/>
  <c r="E10" i="13"/>
  <c r="C10" i="13"/>
  <c r="B44" i="14" l="1"/>
  <c r="B44" i="13"/>
  <c r="B44" i="16"/>
  <c r="B44" i="17"/>
  <c r="O83" i="17"/>
  <c r="O75" i="14"/>
  <c r="M39" i="11"/>
  <c r="B39" i="11"/>
  <c r="B38" i="11"/>
  <c r="O43" i="11"/>
  <c r="O42" i="11"/>
  <c r="O41" i="11"/>
  <c r="O40" i="11"/>
  <c r="AB33" i="1"/>
  <c r="J39" i="11" s="1"/>
  <c r="AB31" i="1"/>
  <c r="AB30" i="1"/>
  <c r="AB29" i="1"/>
  <c r="J38" i="11" s="1"/>
  <c r="AB28" i="1"/>
  <c r="J34" i="11" s="1"/>
  <c r="O33" i="1"/>
  <c r="AC33" i="1" s="1"/>
  <c r="J39" i="13" s="1"/>
  <c r="J35" i="11" l="1"/>
  <c r="F5" i="14"/>
  <c r="F51" i="14" s="1"/>
  <c r="F89" i="14" s="1"/>
  <c r="R33" i="1"/>
  <c r="C5" i="14"/>
  <c r="C51" i="14" s="1"/>
  <c r="C89" i="14" s="1"/>
  <c r="J36" i="11"/>
  <c r="C5" i="16" l="1"/>
  <c r="C51" i="16" s="1"/>
  <c r="C89" i="16" s="1"/>
  <c r="C5" i="17"/>
  <c r="C51" i="17" s="1"/>
  <c r="C89" i="17" s="1"/>
  <c r="AD33" i="1"/>
  <c r="J39" i="14" s="1"/>
  <c r="U33" i="1"/>
  <c r="F5" i="16"/>
  <c r="F51" i="16" s="1"/>
  <c r="F89" i="16" s="1"/>
  <c r="F5" i="17"/>
  <c r="F51" i="17" s="1"/>
  <c r="F89" i="17" s="1"/>
  <c r="B99" i="11"/>
  <c r="C23" i="12"/>
  <c r="O95" i="11"/>
  <c r="C22" i="12" s="1"/>
  <c r="O94" i="11"/>
  <c r="C21" i="12" s="1"/>
  <c r="O93" i="11"/>
  <c r="C20" i="12" s="1"/>
  <c r="O92" i="11"/>
  <c r="C19" i="12" s="1"/>
  <c r="O82" i="11"/>
  <c r="C16" i="12" s="1"/>
  <c r="O81" i="11"/>
  <c r="C15" i="12" s="1"/>
  <c r="O80" i="11"/>
  <c r="C14" i="12" s="1"/>
  <c r="O79" i="11"/>
  <c r="C13" i="12" s="1"/>
  <c r="C25" i="12"/>
  <c r="C24" i="12"/>
  <c r="D11" i="12" l="1"/>
  <c r="AE33" i="1"/>
  <c r="X33" i="1"/>
  <c r="AF33" i="1" s="1"/>
  <c r="J39" i="17" s="1"/>
  <c r="O83" i="11"/>
  <c r="O74" i="11"/>
  <c r="C10" i="12" s="1"/>
  <c r="O73" i="11"/>
  <c r="C9" i="12" s="1"/>
  <c r="O66" i="11"/>
  <c r="D7" i="12" s="1"/>
  <c r="D8" i="12" l="1"/>
  <c r="J39" i="16"/>
  <c r="O75" i="11"/>
  <c r="B35" i="11"/>
  <c r="B36" i="11"/>
  <c r="B34" i="11"/>
  <c r="F5" i="11"/>
  <c r="F51" i="11" s="1"/>
  <c r="F89" i="11" s="1"/>
  <c r="C5" i="11"/>
  <c r="C51" i="11" s="1"/>
  <c r="C89" i="11" s="1"/>
  <c r="C11" i="11"/>
  <c r="E11" i="11"/>
  <c r="H11" i="11"/>
  <c r="I11" i="11"/>
  <c r="C12" i="11"/>
  <c r="E12" i="11"/>
  <c r="H12" i="11"/>
  <c r="I12" i="11"/>
  <c r="C13" i="11"/>
  <c r="E13" i="11"/>
  <c r="H13" i="11"/>
  <c r="I13" i="11"/>
  <c r="C14" i="11"/>
  <c r="E14" i="11"/>
  <c r="H14" i="11"/>
  <c r="I14" i="11"/>
  <c r="C15" i="11"/>
  <c r="E15" i="11"/>
  <c r="H15" i="11"/>
  <c r="I15" i="11"/>
  <c r="C16" i="11"/>
  <c r="E16" i="11"/>
  <c r="H16" i="11"/>
  <c r="I16" i="11"/>
  <c r="C17" i="11"/>
  <c r="E17" i="11"/>
  <c r="H17" i="11"/>
  <c r="I17" i="11"/>
  <c r="C18" i="11"/>
  <c r="E18" i="11"/>
  <c r="H18" i="11"/>
  <c r="I18" i="11"/>
  <c r="C19" i="11"/>
  <c r="E19" i="11"/>
  <c r="H19" i="11"/>
  <c r="I19" i="11"/>
  <c r="C20" i="11"/>
  <c r="E20" i="11"/>
  <c r="H20" i="11"/>
  <c r="I20" i="11"/>
  <c r="C21" i="11"/>
  <c r="E21" i="11"/>
  <c r="H21" i="11"/>
  <c r="I21" i="11"/>
  <c r="C22" i="11"/>
  <c r="E22" i="11"/>
  <c r="H22" i="11"/>
  <c r="I22" i="11"/>
  <c r="C23" i="11"/>
  <c r="E23" i="11"/>
  <c r="H23" i="11"/>
  <c r="I23" i="11"/>
  <c r="C24" i="11"/>
  <c r="E24" i="11"/>
  <c r="H24" i="11"/>
  <c r="I24" i="11"/>
  <c r="C25" i="11"/>
  <c r="E25" i="11"/>
  <c r="H25" i="11"/>
  <c r="I25" i="11"/>
  <c r="I10" i="11"/>
  <c r="H10" i="11"/>
  <c r="E10" i="11"/>
  <c r="C10" i="11"/>
  <c r="B44" i="11" l="1"/>
  <c r="C5" i="12" s="1"/>
  <c r="O32" i="10"/>
  <c r="O32" i="1"/>
  <c r="AC32" i="1" s="1"/>
  <c r="J36" i="13" s="1"/>
  <c r="O29" i="1" l="1"/>
  <c r="M38" i="11"/>
  <c r="AC29" i="1" l="1"/>
  <c r="J38" i="13" s="1"/>
  <c r="R29" i="1"/>
  <c r="V93" i="10"/>
  <c r="S93" i="10"/>
  <c r="U29" i="1" l="1"/>
  <c r="AD29" i="1"/>
  <c r="J38" i="14" s="1"/>
  <c r="AE29" i="1" l="1"/>
  <c r="X29" i="1"/>
  <c r="Z94" i="10"/>
  <c r="W94" i="10"/>
  <c r="T94" i="10"/>
  <c r="Q94" i="10"/>
  <c r="N94" i="10"/>
  <c r="W93" i="10"/>
  <c r="T93" i="10"/>
  <c r="Q93" i="10"/>
  <c r="P93" i="10"/>
  <c r="M93" i="10"/>
  <c r="N93" i="10" s="1"/>
  <c r="Y93" i="10" s="1"/>
  <c r="Z93" i="10" s="1"/>
  <c r="AA87" i="10"/>
  <c r="Z88" i="10"/>
  <c r="W88" i="10"/>
  <c r="T88" i="10"/>
  <c r="Q88" i="10"/>
  <c r="N88" i="10"/>
  <c r="AA85" i="10"/>
  <c r="AA84" i="10"/>
  <c r="AA83" i="10"/>
  <c r="AA82" i="10"/>
  <c r="AA81" i="10"/>
  <c r="AA80" i="10"/>
  <c r="AA79" i="10"/>
  <c r="AA78" i="10"/>
  <c r="AA77" i="10"/>
  <c r="AA76" i="10"/>
  <c r="AA75" i="10"/>
  <c r="AA74" i="10"/>
  <c r="AA73" i="10"/>
  <c r="AA72" i="10"/>
  <c r="AA71" i="10"/>
  <c r="AA70" i="10"/>
  <c r="AA69" i="10"/>
  <c r="AA68" i="10"/>
  <c r="AA67" i="10"/>
  <c r="AA66" i="10"/>
  <c r="AA64" i="10"/>
  <c r="AA63" i="10"/>
  <c r="AA62" i="10"/>
  <c r="AA61" i="10"/>
  <c r="Z58" i="10"/>
  <c r="W58" i="10"/>
  <c r="T58" i="10"/>
  <c r="Q58" i="10"/>
  <c r="N58" i="10"/>
  <c r="AA57" i="10"/>
  <c r="AA56" i="10"/>
  <c r="AA55" i="10"/>
  <c r="AA54" i="10"/>
  <c r="Z51" i="10"/>
  <c r="W51" i="10"/>
  <c r="T51" i="10"/>
  <c r="Q51" i="10"/>
  <c r="N51" i="10"/>
  <c r="AA50" i="10"/>
  <c r="AA49" i="10"/>
  <c r="AA51" i="10" s="1"/>
  <c r="AA46" i="10"/>
  <c r="AR33" i="10"/>
  <c r="AS33" i="10" s="1"/>
  <c r="AT33" i="10" s="1"/>
  <c r="AU33" i="10" s="1"/>
  <c r="AL33" i="10"/>
  <c r="AK33" i="10"/>
  <c r="AJ33" i="10"/>
  <c r="AI33" i="10"/>
  <c r="AH33" i="10"/>
  <c r="AA33" i="10"/>
  <c r="X33" i="10"/>
  <c r="R33" i="10"/>
  <c r="AR32" i="10"/>
  <c r="AS32" i="10" s="1"/>
  <c r="R32" i="10"/>
  <c r="U32" i="10" s="1"/>
  <c r="X32" i="10" s="1"/>
  <c r="N32" i="10"/>
  <c r="AH32" i="10" s="1"/>
  <c r="AR31" i="10"/>
  <c r="AS31" i="10" s="1"/>
  <c r="O31" i="10"/>
  <c r="R31" i="10" s="1"/>
  <c r="U31" i="10" s="1"/>
  <c r="X31" i="10" s="1"/>
  <c r="N31" i="10"/>
  <c r="AR30" i="10"/>
  <c r="AS30" i="10" s="1"/>
  <c r="O30" i="10"/>
  <c r="R30" i="10" s="1"/>
  <c r="U30" i="10" s="1"/>
  <c r="X30" i="10" s="1"/>
  <c r="N30" i="10"/>
  <c r="AH30" i="10" s="1"/>
  <c r="AR29" i="10"/>
  <c r="AS29" i="10" s="1"/>
  <c r="AT29" i="10" s="1"/>
  <c r="O29" i="10"/>
  <c r="R29" i="10" s="1"/>
  <c r="N29" i="10"/>
  <c r="AR28" i="10"/>
  <c r="AS28" i="10" s="1"/>
  <c r="O28" i="10"/>
  <c r="R28" i="10" s="1"/>
  <c r="N28" i="10"/>
  <c r="Z27" i="10"/>
  <c r="AR24" i="10"/>
  <c r="AS24" i="10" s="1"/>
  <c r="AT24" i="10" s="1"/>
  <c r="P24" i="10"/>
  <c r="S24" i="10" s="1"/>
  <c r="V24" i="10" s="1"/>
  <c r="Y24" i="10" s="1"/>
  <c r="O24" i="10"/>
  <c r="AC24" i="10" s="1"/>
  <c r="N24" i="10"/>
  <c r="AR23" i="10"/>
  <c r="P23" i="10"/>
  <c r="S23" i="10" s="1"/>
  <c r="V23" i="10" s="1"/>
  <c r="Y23" i="10" s="1"/>
  <c r="O23" i="10"/>
  <c r="AC23" i="10" s="1"/>
  <c r="N23" i="10"/>
  <c r="AR22" i="10"/>
  <c r="AS22" i="10" s="1"/>
  <c r="P22" i="10"/>
  <c r="S22" i="10" s="1"/>
  <c r="V22" i="10" s="1"/>
  <c r="Y22" i="10" s="1"/>
  <c r="O22" i="10"/>
  <c r="AC22" i="10" s="1"/>
  <c r="N22" i="10"/>
  <c r="AR21" i="10"/>
  <c r="AS21" i="10" s="1"/>
  <c r="P21" i="10"/>
  <c r="S21" i="10" s="1"/>
  <c r="V21" i="10" s="1"/>
  <c r="Y21" i="10" s="1"/>
  <c r="O21" i="10"/>
  <c r="AC21" i="10" s="1"/>
  <c r="N21" i="10"/>
  <c r="AR20" i="10"/>
  <c r="AS20" i="10" s="1"/>
  <c r="P20" i="10"/>
  <c r="S20" i="10" s="1"/>
  <c r="V20" i="10" s="1"/>
  <c r="Y20" i="10" s="1"/>
  <c r="O20" i="10"/>
  <c r="AC20" i="10" s="1"/>
  <c r="N20" i="10"/>
  <c r="AR19" i="10"/>
  <c r="P19" i="10"/>
  <c r="S19" i="10" s="1"/>
  <c r="V19" i="10" s="1"/>
  <c r="Y19" i="10" s="1"/>
  <c r="O19" i="10"/>
  <c r="AC19" i="10" s="1"/>
  <c r="N19" i="10"/>
  <c r="AR18" i="10"/>
  <c r="AS18" i="10" s="1"/>
  <c r="P18" i="10"/>
  <c r="S18" i="10" s="1"/>
  <c r="V18" i="10" s="1"/>
  <c r="Y18" i="10" s="1"/>
  <c r="O18" i="10"/>
  <c r="AC18" i="10" s="1"/>
  <c r="N18" i="10"/>
  <c r="AR17" i="10"/>
  <c r="P17" i="10"/>
  <c r="S17" i="10" s="1"/>
  <c r="V17" i="10" s="1"/>
  <c r="Y17" i="10" s="1"/>
  <c r="O17" i="10"/>
  <c r="AC17" i="10" s="1"/>
  <c r="N17" i="10"/>
  <c r="AR16" i="10"/>
  <c r="AS16" i="10" s="1"/>
  <c r="AT16" i="10" s="1"/>
  <c r="P16" i="10"/>
  <c r="S16" i="10" s="1"/>
  <c r="V16" i="10" s="1"/>
  <c r="Y16" i="10" s="1"/>
  <c r="O16" i="10"/>
  <c r="AC16" i="10" s="1"/>
  <c r="N16" i="10"/>
  <c r="AR15" i="10"/>
  <c r="P15" i="10"/>
  <c r="S15" i="10" s="1"/>
  <c r="V15" i="10" s="1"/>
  <c r="Y15" i="10" s="1"/>
  <c r="O15" i="10"/>
  <c r="AC15" i="10" s="1"/>
  <c r="N15" i="10"/>
  <c r="AR14" i="10"/>
  <c r="AS14" i="10" s="1"/>
  <c r="AT14" i="10" s="1"/>
  <c r="P14" i="10"/>
  <c r="S14" i="10" s="1"/>
  <c r="V14" i="10" s="1"/>
  <c r="Y14" i="10" s="1"/>
  <c r="O14" i="10"/>
  <c r="AC14" i="10" s="1"/>
  <c r="N14" i="10"/>
  <c r="AR13" i="10"/>
  <c r="AS13" i="10" s="1"/>
  <c r="P13" i="10"/>
  <c r="S13" i="10" s="1"/>
  <c r="V13" i="10" s="1"/>
  <c r="Y13" i="10" s="1"/>
  <c r="O13" i="10"/>
  <c r="AC13" i="10" s="1"/>
  <c r="N13" i="10"/>
  <c r="AR12" i="10"/>
  <c r="P12" i="10"/>
  <c r="S12" i="10" s="1"/>
  <c r="V12" i="10" s="1"/>
  <c r="Y12" i="10" s="1"/>
  <c r="O12" i="10"/>
  <c r="AC12" i="10" s="1"/>
  <c r="N12" i="10"/>
  <c r="AR11" i="10"/>
  <c r="P11" i="10"/>
  <c r="S11" i="10" s="1"/>
  <c r="V11" i="10" s="1"/>
  <c r="Y11" i="10" s="1"/>
  <c r="O11" i="10"/>
  <c r="AC11" i="10" s="1"/>
  <c r="N11" i="10"/>
  <c r="AR10" i="10"/>
  <c r="AS10" i="10" s="1"/>
  <c r="P10" i="10"/>
  <c r="S10" i="10" s="1"/>
  <c r="V10" i="10" s="1"/>
  <c r="Y10" i="10" s="1"/>
  <c r="O10" i="10"/>
  <c r="AC10" i="10" s="1"/>
  <c r="N10" i="10"/>
  <c r="AR9" i="10"/>
  <c r="AB25" i="10"/>
  <c r="P9" i="10"/>
  <c r="S9" i="10" s="1"/>
  <c r="V9" i="10" s="1"/>
  <c r="Y9" i="10" s="1"/>
  <c r="O9" i="10"/>
  <c r="AC9" i="10" s="1"/>
  <c r="N9" i="10"/>
  <c r="AR24" i="1"/>
  <c r="Q24" i="1" s="1"/>
  <c r="M25" i="11"/>
  <c r="AR23" i="1"/>
  <c r="Q23" i="1" s="1"/>
  <c r="E19" i="29" s="1"/>
  <c r="M24" i="11"/>
  <c r="AR22" i="1"/>
  <c r="Q22" i="1" s="1"/>
  <c r="E18" i="29" s="1"/>
  <c r="M23" i="11"/>
  <c r="AR21" i="1"/>
  <c r="Q21" i="1" s="1"/>
  <c r="E17" i="29" s="1"/>
  <c r="M22" i="11"/>
  <c r="AR20" i="1"/>
  <c r="Q20" i="1" s="1"/>
  <c r="E16" i="29" s="1"/>
  <c r="M21" i="11"/>
  <c r="AR19" i="1"/>
  <c r="Q19" i="1" s="1"/>
  <c r="E15" i="29" s="1"/>
  <c r="M20" i="11"/>
  <c r="AR18" i="1"/>
  <c r="Q18" i="1" s="1"/>
  <c r="E14" i="29" s="1"/>
  <c r="M19" i="11"/>
  <c r="AR17" i="1"/>
  <c r="Q17" i="1" s="1"/>
  <c r="E13" i="29" s="1"/>
  <c r="M18" i="11"/>
  <c r="AR16" i="1"/>
  <c r="Q16" i="1" s="1"/>
  <c r="E12" i="29" s="1"/>
  <c r="AC16" i="1"/>
  <c r="M17" i="11"/>
  <c r="AR15" i="1"/>
  <c r="Q15" i="1" s="1"/>
  <c r="E11" i="29" s="1"/>
  <c r="M16" i="11"/>
  <c r="AR14" i="1"/>
  <c r="Q14" i="1" s="1"/>
  <c r="E10" i="29" s="1"/>
  <c r="M15" i="11"/>
  <c r="AR13" i="1"/>
  <c r="Q13" i="1" s="1"/>
  <c r="E9" i="29" s="1"/>
  <c r="M14" i="11"/>
  <c r="Q28" i="10" l="1"/>
  <c r="E23" i="30" s="1"/>
  <c r="AC25" i="10"/>
  <c r="Q31" i="10"/>
  <c r="E26" i="30" s="1"/>
  <c r="Q19" i="10"/>
  <c r="E15" i="30" s="1"/>
  <c r="Q21" i="10"/>
  <c r="E17" i="30" s="1"/>
  <c r="T31" i="10"/>
  <c r="F26" i="30" s="1"/>
  <c r="R9" i="10"/>
  <c r="AD9" i="10" s="1"/>
  <c r="Q32" i="10"/>
  <c r="E27" i="30" s="1"/>
  <c r="Q9" i="10"/>
  <c r="E5" i="30" s="1"/>
  <c r="Q23" i="10"/>
  <c r="Q11" i="10"/>
  <c r="E7" i="30" s="1"/>
  <c r="Q13" i="10"/>
  <c r="E9" i="30" s="1"/>
  <c r="R16" i="10"/>
  <c r="AD16" i="10" s="1"/>
  <c r="Q17" i="10"/>
  <c r="R10" i="10"/>
  <c r="AD10" i="10" s="1"/>
  <c r="R13" i="10"/>
  <c r="AD13" i="10" s="1"/>
  <c r="R22" i="10"/>
  <c r="R21" i="10"/>
  <c r="AD21" i="10" s="1"/>
  <c r="R24" i="10"/>
  <c r="AD24" i="10" s="1"/>
  <c r="Q12" i="10"/>
  <c r="E8" i="30" s="1"/>
  <c r="Q15" i="10"/>
  <c r="E11" i="30" s="1"/>
  <c r="R18" i="10"/>
  <c r="AD18" i="10" s="1"/>
  <c r="E20" i="29"/>
  <c r="D20" i="25"/>
  <c r="AI31" i="10"/>
  <c r="W96" i="10"/>
  <c r="G56" i="30" s="1"/>
  <c r="AU29" i="10"/>
  <c r="AI19" i="10"/>
  <c r="T22" i="10"/>
  <c r="F18" i="30" s="1"/>
  <c r="AT22" i="10"/>
  <c r="T28" i="10"/>
  <c r="F23" i="30" s="1"/>
  <c r="U28" i="10"/>
  <c r="AT21" i="10"/>
  <c r="AT32" i="10"/>
  <c r="T32" i="10"/>
  <c r="F27" i="30" s="1"/>
  <c r="AT13" i="10"/>
  <c r="AU16" i="10"/>
  <c r="T30" i="10"/>
  <c r="F25" i="30" s="1"/>
  <c r="AT30" i="10"/>
  <c r="AI11" i="10"/>
  <c r="AU14" i="10"/>
  <c r="AT20" i="10"/>
  <c r="AU24" i="10"/>
  <c r="U29" i="10"/>
  <c r="Q10" i="10"/>
  <c r="Q18" i="10"/>
  <c r="E14" i="30" s="1"/>
  <c r="AT18" i="10"/>
  <c r="AS23" i="10"/>
  <c r="AT28" i="10"/>
  <c r="AT10" i="10"/>
  <c r="AS12" i="10"/>
  <c r="T16" i="10"/>
  <c r="F12" i="30" s="1"/>
  <c r="AI21" i="10"/>
  <c r="AS9" i="10"/>
  <c r="R15" i="10"/>
  <c r="U16" i="10"/>
  <c r="W16" i="10" s="1"/>
  <c r="G12" i="30" s="1"/>
  <c r="AS17" i="10"/>
  <c r="Q20" i="10"/>
  <c r="E16" i="30" s="1"/>
  <c r="R23" i="10"/>
  <c r="U24" i="10"/>
  <c r="AI28" i="10"/>
  <c r="AT31" i="10"/>
  <c r="R12" i="10"/>
  <c r="AI15" i="10"/>
  <c r="R20" i="10"/>
  <c r="T29" i="10"/>
  <c r="F24" i="30" s="1"/>
  <c r="AS11" i="10"/>
  <c r="AI12" i="10"/>
  <c r="Q14" i="10"/>
  <c r="E10" i="30" s="1"/>
  <c r="R17" i="10"/>
  <c r="U18" i="10"/>
  <c r="AS19" i="10"/>
  <c r="Q22" i="10"/>
  <c r="E18" i="30" s="1"/>
  <c r="Q29" i="10"/>
  <c r="E24" i="30" s="1"/>
  <c r="Q30" i="10"/>
  <c r="E25" i="30" s="1"/>
  <c r="AS15" i="10"/>
  <c r="AI9" i="10"/>
  <c r="R14" i="10"/>
  <c r="T24" i="10"/>
  <c r="F20" i="30" s="1"/>
  <c r="R11" i="10"/>
  <c r="Q16" i="10"/>
  <c r="E12" i="30" s="1"/>
  <c r="R19" i="10"/>
  <c r="AI22" i="10"/>
  <c r="Q24" i="10"/>
  <c r="E20" i="30" s="1"/>
  <c r="D19" i="25"/>
  <c r="D16" i="25"/>
  <c r="D9" i="25"/>
  <c r="D15" i="25"/>
  <c r="D17" i="25"/>
  <c r="D13" i="25"/>
  <c r="D10" i="25"/>
  <c r="D11" i="25"/>
  <c r="D12" i="25"/>
  <c r="D14" i="25"/>
  <c r="D18" i="25"/>
  <c r="N34" i="10"/>
  <c r="AF29" i="1"/>
  <c r="J38" i="17" s="1"/>
  <c r="M20" i="13"/>
  <c r="M15" i="13"/>
  <c r="M16" i="13"/>
  <c r="M25" i="13"/>
  <c r="M23" i="13"/>
  <c r="M22" i="13"/>
  <c r="M21" i="13"/>
  <c r="AH31" i="10"/>
  <c r="N25" i="10"/>
  <c r="N36" i="10" s="1"/>
  <c r="AC13" i="1"/>
  <c r="AC14" i="1"/>
  <c r="AC15" i="1"/>
  <c r="AC18" i="1"/>
  <c r="AC19" i="1"/>
  <c r="AC20" i="1"/>
  <c r="AC21" i="1"/>
  <c r="AC22" i="1"/>
  <c r="AC23" i="1"/>
  <c r="AC24" i="1"/>
  <c r="AS13" i="1"/>
  <c r="I14" i="13"/>
  <c r="AS14" i="1"/>
  <c r="I15" i="13"/>
  <c r="AS15" i="1"/>
  <c r="I16" i="13"/>
  <c r="AS16" i="1"/>
  <c r="I17" i="13"/>
  <c r="AS17" i="1"/>
  <c r="T17" i="1" s="1"/>
  <c r="F13" i="29" s="1"/>
  <c r="I18" i="13"/>
  <c r="AS18" i="1"/>
  <c r="I19" i="13"/>
  <c r="AS19" i="1"/>
  <c r="I20" i="13"/>
  <c r="AS20" i="1"/>
  <c r="I21" i="13"/>
  <c r="AS21" i="1"/>
  <c r="I22" i="13"/>
  <c r="AS22" i="1"/>
  <c r="I23" i="13"/>
  <c r="AS23" i="1"/>
  <c r="I24" i="13"/>
  <c r="AS24" i="1"/>
  <c r="I25" i="13"/>
  <c r="J38" i="16"/>
  <c r="AA94" i="10"/>
  <c r="AA58" i="10"/>
  <c r="R14" i="1"/>
  <c r="R16" i="1"/>
  <c r="R18" i="1"/>
  <c r="R20" i="1"/>
  <c r="R22" i="1"/>
  <c r="R24" i="1"/>
  <c r="R15" i="1"/>
  <c r="U17" i="1"/>
  <c r="R19" i="1"/>
  <c r="R21" i="1"/>
  <c r="R23" i="1"/>
  <c r="AA93" i="10"/>
  <c r="M18" i="13"/>
  <c r="M14" i="13"/>
  <c r="R13" i="1"/>
  <c r="AH10" i="10"/>
  <c r="AH11" i="10"/>
  <c r="AH12" i="10"/>
  <c r="AH13" i="10"/>
  <c r="AH14" i="10"/>
  <c r="AH15" i="10"/>
  <c r="AH16" i="10"/>
  <c r="AH17" i="10"/>
  <c r="AH18" i="10"/>
  <c r="AH19" i="10"/>
  <c r="AH20" i="10"/>
  <c r="AH21" i="10"/>
  <c r="AH22" i="10"/>
  <c r="AH23" i="10"/>
  <c r="AH24" i="10"/>
  <c r="Z96" i="10"/>
  <c r="H56" i="30" s="1"/>
  <c r="AH9" i="10"/>
  <c r="AH29" i="10"/>
  <c r="AH28" i="10"/>
  <c r="AA86" i="10"/>
  <c r="AA88" i="10" s="1"/>
  <c r="AI13" i="10" l="1"/>
  <c r="T13" i="10"/>
  <c r="F9" i="30" s="1"/>
  <c r="U13" i="10"/>
  <c r="AI18" i="10"/>
  <c r="AI10" i="10"/>
  <c r="E6" i="30"/>
  <c r="AI17" i="10"/>
  <c r="E13" i="30"/>
  <c r="AJ16" i="10"/>
  <c r="AJ13" i="10"/>
  <c r="U10" i="10"/>
  <c r="AI32" i="10"/>
  <c r="AI23" i="10"/>
  <c r="E19" i="30"/>
  <c r="U9" i="10"/>
  <c r="AE9" i="10" s="1"/>
  <c r="F29" i="30"/>
  <c r="AJ31" i="10"/>
  <c r="E29" i="30"/>
  <c r="U21" i="10"/>
  <c r="W21" i="10" s="1"/>
  <c r="G17" i="30" s="1"/>
  <c r="AD22" i="10"/>
  <c r="U22" i="10"/>
  <c r="T21" i="10"/>
  <c r="F17" i="30" s="1"/>
  <c r="T18" i="10"/>
  <c r="T10" i="10"/>
  <c r="AI30" i="10"/>
  <c r="AI29" i="10"/>
  <c r="AJ30" i="10"/>
  <c r="AI20" i="10"/>
  <c r="AJ29" i="10"/>
  <c r="AJ28" i="10"/>
  <c r="AJ24" i="10"/>
  <c r="AJ32" i="10"/>
  <c r="AJ22" i="10"/>
  <c r="Q25" i="10"/>
  <c r="T15" i="10"/>
  <c r="F11" i="30" s="1"/>
  <c r="AT15" i="10"/>
  <c r="AD20" i="10"/>
  <c r="U20" i="10"/>
  <c r="AD15" i="10"/>
  <c r="U15" i="10"/>
  <c r="W10" i="10"/>
  <c r="AU10" i="10"/>
  <c r="X29" i="10"/>
  <c r="Z29" i="10" s="1"/>
  <c r="H24" i="30" s="1"/>
  <c r="W32" i="10"/>
  <c r="G27" i="30" s="1"/>
  <c r="AU32" i="10"/>
  <c r="Z32" i="10" s="1"/>
  <c r="H27" i="30" s="1"/>
  <c r="AE24" i="10"/>
  <c r="X24" i="10"/>
  <c r="Z24" i="10" s="1"/>
  <c r="H20" i="30" s="1"/>
  <c r="W28" i="10"/>
  <c r="G23" i="30" s="1"/>
  <c r="AU28" i="10"/>
  <c r="W24" i="10"/>
  <c r="G20" i="30" s="1"/>
  <c r="AU30" i="10"/>
  <c r="Z30" i="10" s="1"/>
  <c r="H25" i="30" s="1"/>
  <c r="W30" i="10"/>
  <c r="G25" i="30" s="1"/>
  <c r="AU21" i="10"/>
  <c r="AU22" i="10"/>
  <c r="W22" i="10"/>
  <c r="G18" i="30" s="1"/>
  <c r="T23" i="10"/>
  <c r="F19" i="30" s="1"/>
  <c r="AT23" i="10"/>
  <c r="T34" i="10"/>
  <c r="AE10" i="10"/>
  <c r="X10" i="10"/>
  <c r="AE13" i="10"/>
  <c r="X13" i="10"/>
  <c r="AJ21" i="10"/>
  <c r="AT9" i="10"/>
  <c r="T9" i="10"/>
  <c r="F5" i="30" s="1"/>
  <c r="AU20" i="10"/>
  <c r="W20" i="10"/>
  <c r="G16" i="30" s="1"/>
  <c r="AT11" i="10"/>
  <c r="T11" i="10"/>
  <c r="AD23" i="10"/>
  <c r="U23" i="10"/>
  <c r="AJ23" i="10"/>
  <c r="AD19" i="10"/>
  <c r="U19" i="10"/>
  <c r="AD14" i="10"/>
  <c r="U14" i="10"/>
  <c r="T14" i="10"/>
  <c r="F10" i="30" s="1"/>
  <c r="AD12" i="10"/>
  <c r="U12" i="10"/>
  <c r="X9" i="10"/>
  <c r="W18" i="10"/>
  <c r="G14" i="30" s="1"/>
  <c r="AU18" i="10"/>
  <c r="T20" i="10"/>
  <c r="F16" i="30" s="1"/>
  <c r="Q34" i="10"/>
  <c r="AT19" i="10"/>
  <c r="T19" i="10"/>
  <c r="F15" i="30" s="1"/>
  <c r="W29" i="10"/>
  <c r="G24" i="30" s="1"/>
  <c r="AI24" i="10"/>
  <c r="AI16" i="10"/>
  <c r="AI14" i="10"/>
  <c r="AE18" i="10"/>
  <c r="X18" i="10"/>
  <c r="W31" i="10"/>
  <c r="G26" i="30" s="1"/>
  <c r="AU31" i="10"/>
  <c r="Z31" i="10" s="1"/>
  <c r="H26" i="30" s="1"/>
  <c r="T17" i="10"/>
  <c r="F13" i="30" s="1"/>
  <c r="AT17" i="10"/>
  <c r="W13" i="10"/>
  <c r="G9" i="30" s="1"/>
  <c r="AU13" i="10"/>
  <c r="AD11" i="10"/>
  <c r="U11" i="10"/>
  <c r="AD17" i="10"/>
  <c r="U17" i="10"/>
  <c r="AE16" i="10"/>
  <c r="X16" i="10"/>
  <c r="Z16" i="10" s="1"/>
  <c r="H12" i="30" s="1"/>
  <c r="I12" i="30" s="1"/>
  <c r="AK16" i="10"/>
  <c r="T12" i="10"/>
  <c r="F8" i="30" s="1"/>
  <c r="AT12" i="10"/>
  <c r="X28" i="10"/>
  <c r="E13" i="25"/>
  <c r="T14" i="1"/>
  <c r="F10" i="29" s="1"/>
  <c r="T13" i="1"/>
  <c r="F9" i="29" s="1"/>
  <c r="T22" i="1"/>
  <c r="F18" i="29" s="1"/>
  <c r="AE17" i="1"/>
  <c r="K18" i="16" s="1"/>
  <c r="T24" i="1"/>
  <c r="T20" i="1"/>
  <c r="F16" i="29" s="1"/>
  <c r="T16" i="1"/>
  <c r="F12" i="29" s="1"/>
  <c r="T21" i="1"/>
  <c r="F17" i="29" s="1"/>
  <c r="T18" i="1"/>
  <c r="F14" i="29" s="1"/>
  <c r="T23" i="1"/>
  <c r="F19" i="29" s="1"/>
  <c r="T19" i="1"/>
  <c r="F15" i="29" s="1"/>
  <c r="T15" i="1"/>
  <c r="F11" i="29" s="1"/>
  <c r="AD24" i="1"/>
  <c r="K25" i="14" s="1"/>
  <c r="M19" i="13"/>
  <c r="M24" i="13"/>
  <c r="I25" i="14"/>
  <c r="M17" i="13"/>
  <c r="O99" i="11"/>
  <c r="AH34" i="10"/>
  <c r="N40" i="10" s="1"/>
  <c r="U13" i="1"/>
  <c r="AD13" i="1"/>
  <c r="K14" i="14" s="1"/>
  <c r="U23" i="1"/>
  <c r="AD23" i="1"/>
  <c r="K24" i="14" s="1"/>
  <c r="U19" i="1"/>
  <c r="AD19" i="1"/>
  <c r="K20" i="14" s="1"/>
  <c r="U15" i="1"/>
  <c r="AD15" i="1"/>
  <c r="K16" i="14" s="1"/>
  <c r="U22" i="1"/>
  <c r="AD22" i="1"/>
  <c r="K23" i="14" s="1"/>
  <c r="U18" i="1"/>
  <c r="AD18" i="1"/>
  <c r="J19" i="14" s="1"/>
  <c r="U21" i="1"/>
  <c r="AD21" i="1"/>
  <c r="J22" i="14" s="1"/>
  <c r="U20" i="1"/>
  <c r="AD20" i="1"/>
  <c r="K21" i="14" s="1"/>
  <c r="U16" i="1"/>
  <c r="AD16" i="1"/>
  <c r="K17" i="14" s="1"/>
  <c r="U14" i="1"/>
  <c r="AD14" i="1"/>
  <c r="J15" i="14" s="1"/>
  <c r="AH25" i="10"/>
  <c r="N39" i="10" s="1"/>
  <c r="M18" i="14"/>
  <c r="AT24" i="1"/>
  <c r="X17" i="1"/>
  <c r="AT23" i="1"/>
  <c r="I24" i="14"/>
  <c r="AT22" i="1"/>
  <c r="I23" i="14"/>
  <c r="AT21" i="1"/>
  <c r="W21" i="1" s="1"/>
  <c r="G17" i="29" s="1"/>
  <c r="I22" i="14"/>
  <c r="AT20" i="1"/>
  <c r="W20" i="1" s="1"/>
  <c r="G16" i="29" s="1"/>
  <c r="I21" i="14"/>
  <c r="AT19" i="1"/>
  <c r="I20" i="14"/>
  <c r="AT18" i="1"/>
  <c r="I19" i="14"/>
  <c r="AT17" i="1"/>
  <c r="W17" i="1" s="1"/>
  <c r="G13" i="29" s="1"/>
  <c r="I18" i="14"/>
  <c r="AT16" i="1"/>
  <c r="I17" i="14"/>
  <c r="AT15" i="1"/>
  <c r="I16" i="14"/>
  <c r="I15" i="14"/>
  <c r="AT14" i="1"/>
  <c r="AT13" i="1"/>
  <c r="I14" i="14"/>
  <c r="U24" i="1"/>
  <c r="E21" i="30" l="1"/>
  <c r="G29" i="30"/>
  <c r="I20" i="30"/>
  <c r="I26" i="30"/>
  <c r="I25" i="30"/>
  <c r="AE21" i="10"/>
  <c r="AK10" i="10"/>
  <c r="G6" i="30"/>
  <c r="AJ10" i="10"/>
  <c r="F6" i="30"/>
  <c r="AJ18" i="10"/>
  <c r="F14" i="30"/>
  <c r="AK21" i="10"/>
  <c r="AJ14" i="10"/>
  <c r="AJ11" i="10"/>
  <c r="F7" i="30"/>
  <c r="I24" i="30"/>
  <c r="X21" i="10"/>
  <c r="I27" i="30"/>
  <c r="AI34" i="10"/>
  <c r="Q40" i="10" s="1"/>
  <c r="Q36" i="10"/>
  <c r="AI25" i="10"/>
  <c r="Q39" i="10" s="1"/>
  <c r="AE22" i="10"/>
  <c r="X22" i="10"/>
  <c r="AJ34" i="10"/>
  <c r="T40" i="10" s="1"/>
  <c r="W18" i="1"/>
  <c r="G14" i="29" s="1"/>
  <c r="F20" i="29"/>
  <c r="E20" i="25"/>
  <c r="AL31" i="10"/>
  <c r="AL32" i="10"/>
  <c r="AJ20" i="10"/>
  <c r="AA16" i="10"/>
  <c r="AA29" i="10"/>
  <c r="AL30" i="10"/>
  <c r="AJ19" i="10"/>
  <c r="AK24" i="10"/>
  <c r="AK13" i="10"/>
  <c r="AK18" i="10"/>
  <c r="AK22" i="10"/>
  <c r="AK28" i="10"/>
  <c r="AJ15" i="10"/>
  <c r="AJ12" i="10"/>
  <c r="AK32" i="10"/>
  <c r="AA32" i="10"/>
  <c r="AE11" i="10"/>
  <c r="X11" i="10"/>
  <c r="W17" i="10"/>
  <c r="G13" i="30" s="1"/>
  <c r="AU17" i="10"/>
  <c r="AF9" i="10"/>
  <c r="AE14" i="10"/>
  <c r="X14" i="10"/>
  <c r="W14" i="10"/>
  <c r="G10" i="30" s="1"/>
  <c r="Z28" i="10"/>
  <c r="AL29" i="10"/>
  <c r="AE20" i="10"/>
  <c r="AK20" i="10"/>
  <c r="X20" i="10"/>
  <c r="Z20" i="10" s="1"/>
  <c r="AF13" i="10"/>
  <c r="AF21" i="10"/>
  <c r="AA24" i="10"/>
  <c r="AU19" i="10"/>
  <c r="Z19" i="10" s="1"/>
  <c r="H15" i="30" s="1"/>
  <c r="W19" i="10"/>
  <c r="G15" i="30" s="1"/>
  <c r="Z10" i="10"/>
  <c r="H6" i="30" s="1"/>
  <c r="AU15" i="10"/>
  <c r="W15" i="10"/>
  <c r="AK29" i="10"/>
  <c r="AK31" i="10"/>
  <c r="AA31" i="10"/>
  <c r="AE19" i="10"/>
  <c r="X19" i="10"/>
  <c r="Z21" i="10"/>
  <c r="H17" i="30" s="1"/>
  <c r="I17" i="30" s="1"/>
  <c r="AF24" i="10"/>
  <c r="AL24" i="10"/>
  <c r="W34" i="10"/>
  <c r="W12" i="10"/>
  <c r="G8" i="30" s="1"/>
  <c r="AU12" i="10"/>
  <c r="AE17" i="10"/>
  <c r="X17" i="10"/>
  <c r="AE12" i="10"/>
  <c r="X12" i="10"/>
  <c r="AF10" i="10"/>
  <c r="AF16" i="10"/>
  <c r="AL16" i="10"/>
  <c r="W23" i="10"/>
  <c r="AU23" i="10"/>
  <c r="AD25" i="10"/>
  <c r="AJ17" i="10"/>
  <c r="Z13" i="10"/>
  <c r="H9" i="30" s="1"/>
  <c r="I9" i="30" s="1"/>
  <c r="T25" i="10"/>
  <c r="T36" i="10" s="1"/>
  <c r="AJ9" i="10"/>
  <c r="AK30" i="10"/>
  <c r="AA30" i="10"/>
  <c r="AE15" i="10"/>
  <c r="X15" i="10"/>
  <c r="AU11" i="10"/>
  <c r="W11" i="10"/>
  <c r="G7" i="30" s="1"/>
  <c r="AF18" i="10"/>
  <c r="Z18" i="10"/>
  <c r="H14" i="30" s="1"/>
  <c r="AE23" i="10"/>
  <c r="X23" i="10"/>
  <c r="AU9" i="10"/>
  <c r="Z9" i="10" s="1"/>
  <c r="H5" i="30" s="1"/>
  <c r="W9" i="10"/>
  <c r="G5" i="30" s="1"/>
  <c r="F16" i="25"/>
  <c r="F17" i="25"/>
  <c r="F13" i="25"/>
  <c r="M20" i="14"/>
  <c r="E15" i="25"/>
  <c r="M15" i="14"/>
  <c r="E10" i="25"/>
  <c r="E12" i="25"/>
  <c r="M21" i="14"/>
  <c r="E16" i="25"/>
  <c r="E18" i="25"/>
  <c r="E19" i="25"/>
  <c r="M22" i="14"/>
  <c r="E17" i="25"/>
  <c r="M25" i="14"/>
  <c r="M14" i="14"/>
  <c r="E9" i="25"/>
  <c r="E14" i="25"/>
  <c r="M16" i="14"/>
  <c r="E11" i="25"/>
  <c r="W19" i="1"/>
  <c r="G15" i="29" s="1"/>
  <c r="AF17" i="1"/>
  <c r="K18" i="17" s="1"/>
  <c r="M23" i="14"/>
  <c r="AE21" i="1"/>
  <c r="J22" i="16" s="1"/>
  <c r="W16" i="1"/>
  <c r="G12" i="29" s="1"/>
  <c r="M17" i="14"/>
  <c r="W14" i="1"/>
  <c r="G10" i="29" s="1"/>
  <c r="W23" i="1"/>
  <c r="G19" i="29" s="1"/>
  <c r="W24" i="1"/>
  <c r="W13" i="1"/>
  <c r="G9" i="29" s="1"/>
  <c r="W22" i="1"/>
  <c r="G18" i="29" s="1"/>
  <c r="W15" i="1"/>
  <c r="G11" i="29" s="1"/>
  <c r="M22" i="16"/>
  <c r="M19" i="14"/>
  <c r="AE14" i="1"/>
  <c r="J15" i="16" s="1"/>
  <c r="X21" i="1"/>
  <c r="AU24" i="1"/>
  <c r="X14" i="1"/>
  <c r="I25" i="16"/>
  <c r="O102" i="11"/>
  <c r="N41" i="10"/>
  <c r="D30" i="30" s="1"/>
  <c r="D31" i="30" s="1"/>
  <c r="D55" i="30" s="1"/>
  <c r="X24" i="1"/>
  <c r="AE24" i="1"/>
  <c r="K25" i="16" s="1"/>
  <c r="X16" i="1"/>
  <c r="AE16" i="1"/>
  <c r="K17" i="16" s="1"/>
  <c r="X20" i="1"/>
  <c r="AE20" i="1"/>
  <c r="K21" i="16" s="1"/>
  <c r="X18" i="1"/>
  <c r="AE18" i="1"/>
  <c r="J19" i="16" s="1"/>
  <c r="X22" i="1"/>
  <c r="AE22" i="1"/>
  <c r="K23" i="16" s="1"/>
  <c r="X15" i="1"/>
  <c r="AE15" i="1"/>
  <c r="K16" i="16" s="1"/>
  <c r="X19" i="1"/>
  <c r="AE19" i="1"/>
  <c r="K20" i="16" s="1"/>
  <c r="X23" i="1"/>
  <c r="AE23" i="1"/>
  <c r="K24" i="16" s="1"/>
  <c r="X13" i="1"/>
  <c r="AE13" i="1"/>
  <c r="K14" i="16" s="1"/>
  <c r="M18" i="16"/>
  <c r="M24" i="14"/>
  <c r="I15" i="16"/>
  <c r="AU14" i="1"/>
  <c r="Y13" i="1"/>
  <c r="L14" i="17" s="1"/>
  <c r="I14" i="16"/>
  <c r="AU13" i="1"/>
  <c r="Y14" i="1"/>
  <c r="Y15" i="1"/>
  <c r="L16" i="17" s="1"/>
  <c r="I16" i="16"/>
  <c r="AU15" i="1"/>
  <c r="Y16" i="1"/>
  <c r="L17" i="17" s="1"/>
  <c r="I17" i="16"/>
  <c r="AU16" i="1"/>
  <c r="Y17" i="1"/>
  <c r="L18" i="17" s="1"/>
  <c r="I18" i="16"/>
  <c r="AU17" i="1"/>
  <c r="Y18" i="1"/>
  <c r="I19" i="16"/>
  <c r="AU18" i="1"/>
  <c r="Y19" i="1"/>
  <c r="L20" i="17" s="1"/>
  <c r="I20" i="16"/>
  <c r="AU19" i="1"/>
  <c r="Y20" i="1"/>
  <c r="L21" i="17" s="1"/>
  <c r="I21" i="16"/>
  <c r="AU20" i="1"/>
  <c r="Y21" i="1"/>
  <c r="I22" i="16"/>
  <c r="AU21" i="1"/>
  <c r="Y22" i="1"/>
  <c r="L23" i="17" s="1"/>
  <c r="I23" i="16"/>
  <c r="AU22" i="1"/>
  <c r="Y23" i="1"/>
  <c r="L24" i="17" s="1"/>
  <c r="I24" i="16"/>
  <c r="AU23" i="1"/>
  <c r="Y24" i="1"/>
  <c r="L25" i="17" s="1"/>
  <c r="AA67" i="1"/>
  <c r="AA68" i="1"/>
  <c r="AA69" i="1"/>
  <c r="AA70" i="1"/>
  <c r="AA71" i="1"/>
  <c r="AA72" i="1"/>
  <c r="AA73" i="1"/>
  <c r="AA74" i="1"/>
  <c r="AA75" i="1"/>
  <c r="AA76" i="1"/>
  <c r="AA77" i="1"/>
  <c r="AA78" i="1"/>
  <c r="AA79" i="1"/>
  <c r="AA80" i="1"/>
  <c r="AA81" i="1"/>
  <c r="AA82" i="1"/>
  <c r="AA83" i="1"/>
  <c r="AA84" i="1"/>
  <c r="AA85" i="1"/>
  <c r="AA87" i="1"/>
  <c r="F14" i="25" l="1"/>
  <c r="I5" i="30"/>
  <c r="I15" i="30"/>
  <c r="AL10" i="10"/>
  <c r="I6" i="30"/>
  <c r="AK23" i="10"/>
  <c r="G19" i="30"/>
  <c r="AA28" i="10"/>
  <c r="H23" i="30"/>
  <c r="AK15" i="10"/>
  <c r="G11" i="30"/>
  <c r="AA20" i="10"/>
  <c r="H16" i="30"/>
  <c r="I16" i="30" s="1"/>
  <c r="F21" i="30"/>
  <c r="I14" i="30"/>
  <c r="Q41" i="10"/>
  <c r="M19" i="16"/>
  <c r="AF22" i="10"/>
  <c r="Z12" i="10"/>
  <c r="Z22" i="10"/>
  <c r="AE25" i="10"/>
  <c r="G20" i="29"/>
  <c r="F20" i="25"/>
  <c r="AA19" i="10"/>
  <c r="Z34" i="10"/>
  <c r="AK17" i="10"/>
  <c r="AA18" i="10"/>
  <c r="AL21" i="10"/>
  <c r="AK14" i="10"/>
  <c r="AL13" i="10"/>
  <c r="AL18" i="10"/>
  <c r="AK12" i="10"/>
  <c r="AK19" i="10"/>
  <c r="AJ25" i="10"/>
  <c r="T39" i="10" s="1"/>
  <c r="T41" i="10" s="1"/>
  <c r="F30" i="30" s="1"/>
  <c r="AA21" i="10"/>
  <c r="AK11" i="10"/>
  <c r="AA10" i="10"/>
  <c r="AK34" i="10"/>
  <c r="W40" i="10" s="1"/>
  <c r="N43" i="10"/>
  <c r="N90" i="10" s="1"/>
  <c r="AF17" i="10"/>
  <c r="AF11" i="10"/>
  <c r="AF20" i="10"/>
  <c r="AL20" i="10"/>
  <c r="AA34" i="10"/>
  <c r="AF14" i="10"/>
  <c r="Z14" i="10"/>
  <c r="H10" i="30" s="1"/>
  <c r="I10" i="30" s="1"/>
  <c r="W25" i="10"/>
  <c r="W36" i="10" s="1"/>
  <c r="AK9" i="10"/>
  <c r="AA13" i="10"/>
  <c r="AF12" i="10"/>
  <c r="AL12" i="10"/>
  <c r="Z15" i="10"/>
  <c r="H11" i="30" s="1"/>
  <c r="AL28" i="10"/>
  <c r="AL34" i="10" s="1"/>
  <c r="Z40" i="10" s="1"/>
  <c r="AL9" i="10"/>
  <c r="AF23" i="10"/>
  <c r="AA9" i="10"/>
  <c r="Z23" i="10"/>
  <c r="H19" i="30" s="1"/>
  <c r="AF19" i="10"/>
  <c r="AL19" i="10"/>
  <c r="Z11" i="10"/>
  <c r="H7" i="30" s="1"/>
  <c r="I7" i="30" s="1"/>
  <c r="Z17" i="10"/>
  <c r="H13" i="30" s="1"/>
  <c r="I13" i="30" s="1"/>
  <c r="AF15" i="10"/>
  <c r="F11" i="25"/>
  <c r="F10" i="25"/>
  <c r="M14" i="16"/>
  <c r="F9" i="25"/>
  <c r="M20" i="16"/>
  <c r="F15" i="25"/>
  <c r="M23" i="16"/>
  <c r="F18" i="25"/>
  <c r="M24" i="16"/>
  <c r="F19" i="25"/>
  <c r="M17" i="16"/>
  <c r="F12" i="25"/>
  <c r="Z13" i="1"/>
  <c r="H9" i="29" s="1"/>
  <c r="I9" i="29" s="1"/>
  <c r="Z20" i="1"/>
  <c r="H16" i="29" s="1"/>
  <c r="I16" i="29" s="1"/>
  <c r="Z19" i="1"/>
  <c r="H15" i="29" s="1"/>
  <c r="I15" i="29" s="1"/>
  <c r="AF22" i="1"/>
  <c r="K23" i="17" s="1"/>
  <c r="AF21" i="1"/>
  <c r="J22" i="17" s="1"/>
  <c r="Z16" i="1"/>
  <c r="H12" i="29" s="1"/>
  <c r="I12" i="29" s="1"/>
  <c r="AF23" i="1"/>
  <c r="K24" i="17" s="1"/>
  <c r="AF18" i="1"/>
  <c r="J19" i="17" s="1"/>
  <c r="Z14" i="1"/>
  <c r="H10" i="29" s="1"/>
  <c r="I10" i="29" s="1"/>
  <c r="Z23" i="1"/>
  <c r="H19" i="29" s="1"/>
  <c r="I19" i="29" s="1"/>
  <c r="Z15" i="1"/>
  <c r="H11" i="29" s="1"/>
  <c r="I11" i="29" s="1"/>
  <c r="AF19" i="1"/>
  <c r="K20" i="17" s="1"/>
  <c r="AF20" i="1"/>
  <c r="K21" i="17" s="1"/>
  <c r="Z22" i="1"/>
  <c r="H18" i="29" s="1"/>
  <c r="I18" i="29" s="1"/>
  <c r="Z24" i="1"/>
  <c r="Z21" i="1"/>
  <c r="H17" i="29" s="1"/>
  <c r="I17" i="29" s="1"/>
  <c r="Z18" i="1"/>
  <c r="H14" i="29" s="1"/>
  <c r="I14" i="29" s="1"/>
  <c r="Z17" i="1"/>
  <c r="H13" i="29" s="1"/>
  <c r="I13" i="29" s="1"/>
  <c r="M21" i="16"/>
  <c r="AF15" i="1"/>
  <c r="K16" i="17" s="1"/>
  <c r="AF14" i="1"/>
  <c r="J15" i="17" s="1"/>
  <c r="AF16" i="1"/>
  <c r="K17" i="17" s="1"/>
  <c r="AF13" i="1"/>
  <c r="K14" i="17" s="1"/>
  <c r="AF24" i="1"/>
  <c r="K25" i="17" s="1"/>
  <c r="I15" i="17"/>
  <c r="I25" i="17"/>
  <c r="I14" i="17"/>
  <c r="M16" i="16"/>
  <c r="I24" i="17"/>
  <c r="I23" i="17"/>
  <c r="I22" i="17"/>
  <c r="I21" i="17"/>
  <c r="I20" i="17"/>
  <c r="I19" i="17"/>
  <c r="I18" i="17"/>
  <c r="I17" i="17"/>
  <c r="I16" i="17"/>
  <c r="M15" i="16"/>
  <c r="M25" i="16"/>
  <c r="R32" i="1"/>
  <c r="I19" i="30" l="1"/>
  <c r="G21" i="30"/>
  <c r="H29" i="30"/>
  <c r="I29" i="30" s="1"/>
  <c r="I23" i="30"/>
  <c r="AA22" i="10"/>
  <c r="H18" i="30"/>
  <c r="I18" i="30" s="1"/>
  <c r="AA12" i="10"/>
  <c r="H8" i="30"/>
  <c r="I8" i="30" s="1"/>
  <c r="AL22" i="10"/>
  <c r="I11" i="30"/>
  <c r="AA40" i="10"/>
  <c r="F31" i="30"/>
  <c r="F55" i="30" s="1"/>
  <c r="T43" i="10"/>
  <c r="T90" i="10" s="1"/>
  <c r="E30" i="30"/>
  <c r="E31" i="30" s="1"/>
  <c r="E55" i="30" s="1"/>
  <c r="Q43" i="10"/>
  <c r="Q90" i="10" s="1"/>
  <c r="AF25" i="10"/>
  <c r="AK25" i="10"/>
  <c r="W39" i="10" s="1"/>
  <c r="W41" i="10" s="1"/>
  <c r="G30" i="30" s="1"/>
  <c r="H20" i="29"/>
  <c r="I20" i="29" s="1"/>
  <c r="G20" i="25"/>
  <c r="H20" i="25" s="1"/>
  <c r="AA13" i="1"/>
  <c r="AA11" i="10"/>
  <c r="AA14" i="10"/>
  <c r="AA15" i="10"/>
  <c r="AL15" i="10"/>
  <c r="AA23" i="10"/>
  <c r="AA17" i="10"/>
  <c r="AL23" i="10"/>
  <c r="Z25" i="10"/>
  <c r="Z36" i="10" s="1"/>
  <c r="AL11" i="10"/>
  <c r="AL17" i="10"/>
  <c r="AL14" i="10"/>
  <c r="G14" i="25"/>
  <c r="H14" i="25" s="1"/>
  <c r="G9" i="25"/>
  <c r="H9" i="25" s="1"/>
  <c r="G13" i="25"/>
  <c r="H13" i="25" s="1"/>
  <c r="AA24" i="1"/>
  <c r="G12" i="25"/>
  <c r="H12" i="25" s="1"/>
  <c r="G19" i="25"/>
  <c r="H19" i="25" s="1"/>
  <c r="AA15" i="1"/>
  <c r="G11" i="25"/>
  <c r="H11" i="25" s="1"/>
  <c r="AA20" i="1"/>
  <c r="G16" i="25"/>
  <c r="H16" i="25" s="1"/>
  <c r="AA19" i="1"/>
  <c r="G15" i="25"/>
  <c r="H15" i="25" s="1"/>
  <c r="AA14" i="1"/>
  <c r="G10" i="25"/>
  <c r="H10" i="25" s="1"/>
  <c r="AA21" i="1"/>
  <c r="G17" i="25"/>
  <c r="H17" i="25" s="1"/>
  <c r="AA22" i="1"/>
  <c r="G18" i="25"/>
  <c r="H18" i="25" s="1"/>
  <c r="AA18" i="1"/>
  <c r="AA16" i="1"/>
  <c r="AA23" i="1"/>
  <c r="AA17" i="1"/>
  <c r="M14" i="17"/>
  <c r="M25" i="17"/>
  <c r="AD32" i="1"/>
  <c r="J36" i="14" s="1"/>
  <c r="M15" i="17"/>
  <c r="M16" i="17"/>
  <c r="M17" i="17"/>
  <c r="M18" i="17"/>
  <c r="M19" i="17"/>
  <c r="M20" i="17"/>
  <c r="M21" i="17"/>
  <c r="M22" i="17"/>
  <c r="M23" i="17"/>
  <c r="M24" i="17"/>
  <c r="AR32" i="1"/>
  <c r="Q32" i="1" s="1"/>
  <c r="E27" i="29" s="1"/>
  <c r="AR31" i="1"/>
  <c r="AR30" i="1"/>
  <c r="AR29" i="1"/>
  <c r="Q29" i="1" s="1"/>
  <c r="E24" i="29" s="1"/>
  <c r="AR33" i="1"/>
  <c r="Q33" i="1" s="1"/>
  <c r="E28" i="29" s="1"/>
  <c r="AR28" i="1"/>
  <c r="AR12" i="1"/>
  <c r="Q12" i="1" s="1"/>
  <c r="E8" i="29" s="1"/>
  <c r="AR11" i="1"/>
  <c r="Q11" i="1" s="1"/>
  <c r="E7" i="29" s="1"/>
  <c r="AR10" i="1"/>
  <c r="Q10" i="1" s="1"/>
  <c r="E6" i="29" s="1"/>
  <c r="AR9" i="1"/>
  <c r="G31" i="30" l="1"/>
  <c r="G55" i="30" s="1"/>
  <c r="G57" i="30" s="1"/>
  <c r="H21" i="30"/>
  <c r="I21" i="30" s="1"/>
  <c r="AA25" i="10"/>
  <c r="AA36" i="10" s="1"/>
  <c r="AL25" i="10"/>
  <c r="Z39" i="10" s="1"/>
  <c r="Z41" i="10" s="1"/>
  <c r="H30" i="30" s="1"/>
  <c r="W43" i="10"/>
  <c r="W90" i="10" s="1"/>
  <c r="W98" i="10" s="1"/>
  <c r="AI33" i="1"/>
  <c r="AI32" i="1"/>
  <c r="D6" i="25"/>
  <c r="D7" i="25"/>
  <c r="D8" i="25"/>
  <c r="AS33" i="1"/>
  <c r="AS31" i="1"/>
  <c r="AS32" i="1"/>
  <c r="T32" i="1" s="1"/>
  <c r="F27" i="29" s="1"/>
  <c r="AS30" i="1"/>
  <c r="AS28" i="1"/>
  <c r="AS10" i="1"/>
  <c r="I11" i="13"/>
  <c r="AS12" i="1"/>
  <c r="I13" i="13"/>
  <c r="AS9" i="1"/>
  <c r="I10" i="13"/>
  <c r="AS11" i="1"/>
  <c r="I12" i="13"/>
  <c r="AS29" i="1"/>
  <c r="T29" i="1" s="1"/>
  <c r="F24" i="29" s="1"/>
  <c r="M38" i="13"/>
  <c r="H31" i="30" l="1"/>
  <c r="H55" i="30" s="1"/>
  <c r="H57" i="30" s="1"/>
  <c r="I30" i="30"/>
  <c r="I31" i="30" s="1"/>
  <c r="I55" i="30" s="1"/>
  <c r="AA39" i="10"/>
  <c r="AA41" i="10" s="1"/>
  <c r="AA43" i="10" s="1"/>
  <c r="AA90" i="10" s="1"/>
  <c r="Z43" i="10"/>
  <c r="Z90" i="10" s="1"/>
  <c r="Z98" i="10" s="1"/>
  <c r="AJ32" i="1"/>
  <c r="N36" i="14" s="1"/>
  <c r="AT33" i="1"/>
  <c r="T33" i="1"/>
  <c r="F28" i="29" s="1"/>
  <c r="N39" i="13"/>
  <c r="M39" i="13"/>
  <c r="AT28" i="1"/>
  <c r="AT30" i="1"/>
  <c r="N36" i="13"/>
  <c r="AT32" i="1"/>
  <c r="AT31" i="1"/>
  <c r="M36" i="13"/>
  <c r="N36" i="11"/>
  <c r="M36" i="11"/>
  <c r="N35" i="11"/>
  <c r="M35" i="11"/>
  <c r="M34" i="11"/>
  <c r="AT11" i="1"/>
  <c r="I12" i="14"/>
  <c r="AT9" i="1"/>
  <c r="I10" i="14"/>
  <c r="AT12" i="1"/>
  <c r="I13" i="14"/>
  <c r="AT10" i="1"/>
  <c r="I11" i="14"/>
  <c r="M38" i="14"/>
  <c r="AT29" i="1"/>
  <c r="W29" i="1" s="1"/>
  <c r="G24" i="29" s="1"/>
  <c r="AB25" i="1"/>
  <c r="D19" i="8"/>
  <c r="D18" i="8"/>
  <c r="D17" i="8"/>
  <c r="D16" i="8"/>
  <c r="D15" i="8"/>
  <c r="D14" i="8"/>
  <c r="D13" i="8"/>
  <c r="D12" i="8"/>
  <c r="D11" i="8"/>
  <c r="C20" i="8"/>
  <c r="C19" i="8"/>
  <c r="C18" i="8"/>
  <c r="C17" i="8"/>
  <c r="C16" i="8"/>
  <c r="C15" i="8"/>
  <c r="C14" i="8"/>
  <c r="C13" i="8"/>
  <c r="C12" i="8"/>
  <c r="C11" i="8"/>
  <c r="B22" i="8"/>
  <c r="B21" i="8"/>
  <c r="B20" i="8"/>
  <c r="B19" i="8"/>
  <c r="B18" i="8"/>
  <c r="B17" i="8"/>
  <c r="B16" i="8"/>
  <c r="B15" i="8"/>
  <c r="B14" i="8"/>
  <c r="B13" i="8"/>
  <c r="B12" i="8"/>
  <c r="B11" i="8"/>
  <c r="C7" i="8"/>
  <c r="B6" i="8"/>
  <c r="AU33" i="1" l="1"/>
  <c r="Z33" i="1" s="1"/>
  <c r="H28" i="29" s="1"/>
  <c r="W33" i="1"/>
  <c r="AJ33" i="1"/>
  <c r="N39" i="14" s="1"/>
  <c r="M39" i="14"/>
  <c r="O39" i="13"/>
  <c r="AU32" i="1"/>
  <c r="AU30" i="1"/>
  <c r="AU28" i="1"/>
  <c r="AU31" i="1"/>
  <c r="M36" i="14"/>
  <c r="O36" i="14" s="1"/>
  <c r="B7" i="8"/>
  <c r="AG21" i="1"/>
  <c r="AG11" i="1"/>
  <c r="AG14" i="1"/>
  <c r="AG18" i="1"/>
  <c r="O35" i="11"/>
  <c r="O36" i="11"/>
  <c r="O36" i="13"/>
  <c r="AU12" i="1"/>
  <c r="I13" i="16"/>
  <c r="AU9" i="1"/>
  <c r="I10" i="16"/>
  <c r="AU11" i="1"/>
  <c r="I12" i="16"/>
  <c r="AU10" i="1"/>
  <c r="I11" i="16"/>
  <c r="AU29" i="1"/>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 i="8"/>
  <c r="D6" i="8"/>
  <c r="G28" i="29" l="1"/>
  <c r="Z29" i="1"/>
  <c r="AL33" i="1"/>
  <c r="N39" i="17" s="1"/>
  <c r="M39" i="17"/>
  <c r="AK33" i="1"/>
  <c r="N39" i="16" s="1"/>
  <c r="M39" i="16"/>
  <c r="O39" i="14"/>
  <c r="I13" i="17"/>
  <c r="I11" i="17"/>
  <c r="I10" i="17"/>
  <c r="I12" i="17"/>
  <c r="D7" i="8"/>
  <c r="AG13" i="1"/>
  <c r="AG9" i="1"/>
  <c r="M38" i="16"/>
  <c r="M13" i="11"/>
  <c r="M12" i="11"/>
  <c r="H24" i="29" l="1"/>
  <c r="M38" i="17"/>
  <c r="AA29" i="1"/>
  <c r="O39" i="17"/>
  <c r="O39" i="16"/>
  <c r="AC10" i="1"/>
  <c r="M10" i="11"/>
  <c r="O31" i="1"/>
  <c r="O30" i="1"/>
  <c r="Q30" i="1" s="1"/>
  <c r="O28" i="1"/>
  <c r="E25" i="29" l="1"/>
  <c r="Q31" i="1"/>
  <c r="E26" i="29" s="1"/>
  <c r="R31" i="1"/>
  <c r="T31" i="1" s="1"/>
  <c r="F26" i="29" s="1"/>
  <c r="AI30" i="1"/>
  <c r="Q28" i="1"/>
  <c r="E23" i="29" s="1"/>
  <c r="AC30" i="1"/>
  <c r="AC28" i="1"/>
  <c r="J34" i="13" s="1"/>
  <c r="AC31" i="1"/>
  <c r="R28" i="1"/>
  <c r="R30" i="1"/>
  <c r="Q86" i="1" l="1"/>
  <c r="E52" i="29" s="1"/>
  <c r="E54" i="29" s="1"/>
  <c r="E29" i="29"/>
  <c r="AI31" i="1"/>
  <c r="N35" i="13" s="1"/>
  <c r="AJ31" i="1"/>
  <c r="T30" i="1"/>
  <c r="T86" i="1" s="1"/>
  <c r="U30" i="1"/>
  <c r="W30" i="1" s="1"/>
  <c r="M34" i="13"/>
  <c r="AD31" i="1"/>
  <c r="T28" i="1"/>
  <c r="F23" i="29" s="1"/>
  <c r="AD30" i="1"/>
  <c r="J35" i="13"/>
  <c r="M35" i="13"/>
  <c r="AD28" i="1"/>
  <c r="J34" i="14" s="1"/>
  <c r="U32" i="1"/>
  <c r="W32" i="1" s="1"/>
  <c r="G27" i="29" s="1"/>
  <c r="U31" i="1"/>
  <c r="W31" i="1" s="1"/>
  <c r="G26" i="29" s="1"/>
  <c r="U28" i="1"/>
  <c r="P9" i="1"/>
  <c r="Q9" i="1" s="1"/>
  <c r="E5" i="29" s="1"/>
  <c r="N88" i="1"/>
  <c r="AA66" i="1"/>
  <c r="AA64" i="1"/>
  <c r="AA63" i="1"/>
  <c r="AA62" i="1"/>
  <c r="AA61" i="1"/>
  <c r="Z58" i="1"/>
  <c r="G25" i="25" s="1"/>
  <c r="W58" i="1"/>
  <c r="F25" i="25" s="1"/>
  <c r="T58" i="1"/>
  <c r="E25" i="25" s="1"/>
  <c r="Q58" i="1"/>
  <c r="D25" i="25" s="1"/>
  <c r="N58" i="1"/>
  <c r="C25" i="25" s="1"/>
  <c r="AA57" i="1"/>
  <c r="AA56" i="1"/>
  <c r="AA55" i="1"/>
  <c r="AA54" i="1"/>
  <c r="Z51" i="1"/>
  <c r="G26" i="25" s="1"/>
  <c r="W51" i="1"/>
  <c r="F26" i="25" s="1"/>
  <c r="T51" i="1"/>
  <c r="E26" i="25" s="1"/>
  <c r="Q51" i="1"/>
  <c r="D26" i="25" s="1"/>
  <c r="N51" i="1"/>
  <c r="C26" i="25" s="1"/>
  <c r="AA50" i="1"/>
  <c r="AA49" i="1"/>
  <c r="W86" i="1" l="1"/>
  <c r="G52" i="29" s="1"/>
  <c r="G54" i="29" s="1"/>
  <c r="G25" i="29"/>
  <c r="F25" i="29"/>
  <c r="F29" i="29" s="1"/>
  <c r="F52" i="29"/>
  <c r="O99" i="13"/>
  <c r="O102" i="13" s="1"/>
  <c r="Q88" i="1"/>
  <c r="D32" i="25"/>
  <c r="H26" i="25"/>
  <c r="H25" i="25"/>
  <c r="E21" i="29"/>
  <c r="AK32" i="1"/>
  <c r="D5" i="25"/>
  <c r="AK31" i="1"/>
  <c r="AK30" i="1"/>
  <c r="AJ30" i="1"/>
  <c r="N35" i="14" s="1"/>
  <c r="J35" i="14"/>
  <c r="W28" i="1"/>
  <c r="G23" i="29" s="1"/>
  <c r="M34" i="14"/>
  <c r="AE32" i="1"/>
  <c r="AC12" i="1"/>
  <c r="M13" i="13"/>
  <c r="AC11" i="1"/>
  <c r="M12" i="13"/>
  <c r="AC9" i="1"/>
  <c r="M10" i="13"/>
  <c r="Q95" i="1"/>
  <c r="O35" i="13"/>
  <c r="M11" i="13"/>
  <c r="AE28" i="1"/>
  <c r="S9" i="1"/>
  <c r="L10" i="14" s="1"/>
  <c r="AE30" i="1"/>
  <c r="AE31" i="1"/>
  <c r="M35" i="14"/>
  <c r="X28" i="1"/>
  <c r="X32" i="1"/>
  <c r="Z32" i="1" s="1"/>
  <c r="X30" i="1"/>
  <c r="Z30" i="1" s="1"/>
  <c r="X31" i="1"/>
  <c r="Z31" i="1" s="1"/>
  <c r="R10" i="1"/>
  <c r="R12" i="1"/>
  <c r="R11" i="1"/>
  <c r="R9" i="1"/>
  <c r="AA58" i="1"/>
  <c r="AA51" i="1"/>
  <c r="AA46" i="1"/>
  <c r="Z86" i="1" l="1"/>
  <c r="H52" i="29" s="1"/>
  <c r="H54" i="29" s="1"/>
  <c r="G29" i="29"/>
  <c r="H27" i="29"/>
  <c r="H26" i="29"/>
  <c r="I26" i="29" s="1"/>
  <c r="I24" i="29"/>
  <c r="H25" i="29"/>
  <c r="I25" i="29" s="1"/>
  <c r="F54" i="29"/>
  <c r="AL32" i="1"/>
  <c r="E32" i="25"/>
  <c r="O99" i="14"/>
  <c r="O102" i="14" s="1"/>
  <c r="F32" i="25"/>
  <c r="AL31" i="1"/>
  <c r="AL30" i="1"/>
  <c r="W88" i="1"/>
  <c r="O99" i="16"/>
  <c r="O102" i="16" s="1"/>
  <c r="T88" i="1"/>
  <c r="Z28" i="1"/>
  <c r="H23" i="29" s="1"/>
  <c r="I23" i="29" s="1"/>
  <c r="T11" i="1"/>
  <c r="F7" i="29" s="1"/>
  <c r="T10" i="1"/>
  <c r="F6" i="29" s="1"/>
  <c r="T12" i="1"/>
  <c r="F8" i="29" s="1"/>
  <c r="T9" i="1"/>
  <c r="F5" i="29" s="1"/>
  <c r="AA30" i="1"/>
  <c r="AF32" i="1"/>
  <c r="J36" i="17" s="1"/>
  <c r="AF28" i="1"/>
  <c r="J34" i="17" s="1"/>
  <c r="AA31" i="1"/>
  <c r="AD12" i="1"/>
  <c r="K13" i="14" s="1"/>
  <c r="AD10" i="1"/>
  <c r="K11" i="14" s="1"/>
  <c r="AD9" i="1"/>
  <c r="AD11" i="1"/>
  <c r="Y12" i="1"/>
  <c r="AF31" i="1"/>
  <c r="AF30" i="1"/>
  <c r="O35" i="14"/>
  <c r="M34" i="16"/>
  <c r="M35" i="16"/>
  <c r="V9" i="1"/>
  <c r="J36" i="16"/>
  <c r="J35" i="16"/>
  <c r="M36" i="16"/>
  <c r="J34" i="16"/>
  <c r="U10" i="1"/>
  <c r="AC25" i="1"/>
  <c r="U12" i="1"/>
  <c r="U11" i="1"/>
  <c r="U9" i="1"/>
  <c r="AA33" i="1"/>
  <c r="Z27" i="1"/>
  <c r="M11" i="11"/>
  <c r="J12" i="14" l="1"/>
  <c r="K12" i="14"/>
  <c r="K10" i="14"/>
  <c r="J10" i="14"/>
  <c r="H29" i="29"/>
  <c r="I29" i="29" s="1"/>
  <c r="I27" i="29"/>
  <c r="I52" i="29"/>
  <c r="I54" i="29"/>
  <c r="F21" i="29"/>
  <c r="G32" i="25"/>
  <c r="H32" i="25" s="1"/>
  <c r="M10" i="14"/>
  <c r="E5" i="25"/>
  <c r="M11" i="14"/>
  <c r="E6" i="25"/>
  <c r="E7" i="25"/>
  <c r="M13" i="14"/>
  <c r="E8" i="25"/>
  <c r="AA28" i="1"/>
  <c r="Z88" i="1"/>
  <c r="O99" i="17"/>
  <c r="AA86" i="1"/>
  <c r="W12" i="1"/>
  <c r="G8" i="29" s="1"/>
  <c r="W10" i="1"/>
  <c r="G6" i="29" s="1"/>
  <c r="W11" i="1"/>
  <c r="G7" i="29" s="1"/>
  <c r="M12" i="14"/>
  <c r="AA32" i="1"/>
  <c r="W9" i="1"/>
  <c r="G5" i="29" s="1"/>
  <c r="AE9" i="1"/>
  <c r="AE10" i="1"/>
  <c r="K11" i="16" s="1"/>
  <c r="AE11" i="1"/>
  <c r="AE12" i="1"/>
  <c r="K13" i="16" s="1"/>
  <c r="L13" i="17"/>
  <c r="L39" i="1"/>
  <c r="J35" i="17"/>
  <c r="N35" i="17"/>
  <c r="M35" i="17"/>
  <c r="M34" i="17"/>
  <c r="N36" i="17"/>
  <c r="M36" i="17"/>
  <c r="N36" i="16"/>
  <c r="O36" i="16" s="1"/>
  <c r="Y9" i="1"/>
  <c r="L10" i="17" s="1"/>
  <c r="Y11" i="1"/>
  <c r="N35" i="16"/>
  <c r="O35" i="16" s="1"/>
  <c r="AD25" i="1"/>
  <c r="Y10" i="1"/>
  <c r="X11" i="1"/>
  <c r="X10" i="1"/>
  <c r="X12" i="1"/>
  <c r="X9" i="1"/>
  <c r="N34" i="1"/>
  <c r="Z34" i="1"/>
  <c r="W34" i="1"/>
  <c r="T34" i="1"/>
  <c r="Q34" i="1"/>
  <c r="Q25" i="1"/>
  <c r="N25" i="1"/>
  <c r="T25" i="1"/>
  <c r="J12" i="16" l="1"/>
  <c r="K12" i="16"/>
  <c r="K10" i="16"/>
  <c r="J10" i="16"/>
  <c r="AA88" i="1"/>
  <c r="D21" i="25"/>
  <c r="D22" i="25" s="1"/>
  <c r="F21" i="25"/>
  <c r="E21" i="25"/>
  <c r="E22" i="25" s="1"/>
  <c r="G21" i="25"/>
  <c r="C21" i="25"/>
  <c r="C22" i="25" s="1"/>
  <c r="G21" i="29"/>
  <c r="F7" i="25"/>
  <c r="F6" i="25"/>
  <c r="F8" i="25"/>
  <c r="F5" i="25"/>
  <c r="AH33" i="1"/>
  <c r="N39" i="11" s="1"/>
  <c r="O39" i="11" s="1"/>
  <c r="AI24" i="1"/>
  <c r="AI14" i="1"/>
  <c r="N15" i="13" s="1"/>
  <c r="O15" i="13" s="1"/>
  <c r="AI13" i="1"/>
  <c r="N14" i="13" s="1"/>
  <c r="O14" i="13" s="1"/>
  <c r="AI18" i="1"/>
  <c r="N19" i="13" s="1"/>
  <c r="O19" i="13" s="1"/>
  <c r="AI16" i="1"/>
  <c r="N17" i="13" s="1"/>
  <c r="O17" i="13" s="1"/>
  <c r="AI15" i="1"/>
  <c r="N16" i="13" s="1"/>
  <c r="O16" i="13" s="1"/>
  <c r="AI20" i="1"/>
  <c r="N21" i="13" s="1"/>
  <c r="O21" i="13" s="1"/>
  <c r="AI19" i="1"/>
  <c r="N20" i="13" s="1"/>
  <c r="O20" i="13" s="1"/>
  <c r="AI22" i="1"/>
  <c r="AI17" i="1"/>
  <c r="N18" i="13" s="1"/>
  <c r="O18" i="13" s="1"/>
  <c r="AI21" i="1"/>
  <c r="N22" i="13" s="1"/>
  <c r="O22" i="13" s="1"/>
  <c r="AI23" i="1"/>
  <c r="N24" i="13" s="1"/>
  <c r="O24" i="13" s="1"/>
  <c r="AJ17" i="1"/>
  <c r="N18" i="14" s="1"/>
  <c r="O18" i="14" s="1"/>
  <c r="AJ14" i="1"/>
  <c r="N15" i="14" s="1"/>
  <c r="O15" i="14" s="1"/>
  <c r="AK17" i="1"/>
  <c r="N18" i="16" s="1"/>
  <c r="O18" i="16" s="1"/>
  <c r="AJ13" i="1"/>
  <c r="N14" i="14" s="1"/>
  <c r="O14" i="14" s="1"/>
  <c r="AJ19" i="1"/>
  <c r="N20" i="14" s="1"/>
  <c r="O20" i="14" s="1"/>
  <c r="AJ23" i="1"/>
  <c r="N24" i="14" s="1"/>
  <c r="O24" i="14" s="1"/>
  <c r="AK19" i="1"/>
  <c r="N20" i="16" s="1"/>
  <c r="O20" i="16" s="1"/>
  <c r="AJ21" i="1"/>
  <c r="N22" i="14" s="1"/>
  <c r="O22" i="14" s="1"/>
  <c r="AJ22" i="1"/>
  <c r="N23" i="14" s="1"/>
  <c r="O23" i="14" s="1"/>
  <c r="AJ15" i="1"/>
  <c r="N16" i="14" s="1"/>
  <c r="O16" i="14" s="1"/>
  <c r="AJ18" i="1"/>
  <c r="N19" i="14" s="1"/>
  <c r="O19" i="14" s="1"/>
  <c r="AK20" i="1"/>
  <c r="N21" i="16" s="1"/>
  <c r="O21" i="16" s="1"/>
  <c r="AJ16" i="1"/>
  <c r="N17" i="14" s="1"/>
  <c r="O17" i="14" s="1"/>
  <c r="AK21" i="1"/>
  <c r="N22" i="16" s="1"/>
  <c r="O22" i="16" s="1"/>
  <c r="AJ20" i="1"/>
  <c r="N21" i="14" s="1"/>
  <c r="O21" i="14" s="1"/>
  <c r="AJ24" i="1"/>
  <c r="N25" i="14" s="1"/>
  <c r="O25" i="14" s="1"/>
  <c r="AK18" i="1"/>
  <c r="N19" i="16" s="1"/>
  <c r="O19" i="16" s="1"/>
  <c r="AK14" i="1"/>
  <c r="N15" i="16" s="1"/>
  <c r="O15" i="16" s="1"/>
  <c r="AL22" i="1"/>
  <c r="N23" i="17" s="1"/>
  <c r="O23" i="17" s="1"/>
  <c r="AK15" i="1"/>
  <c r="N16" i="16" s="1"/>
  <c r="O16" i="16" s="1"/>
  <c r="AL19" i="1"/>
  <c r="N20" i="17" s="1"/>
  <c r="O20" i="17" s="1"/>
  <c r="AK13" i="1"/>
  <c r="N14" i="16" s="1"/>
  <c r="O14" i="16" s="1"/>
  <c r="AK23" i="1"/>
  <c r="N24" i="16" s="1"/>
  <c r="O24" i="16" s="1"/>
  <c r="AK24" i="1"/>
  <c r="N25" i="16" s="1"/>
  <c r="O25" i="16" s="1"/>
  <c r="AL20" i="1"/>
  <c r="N21" i="17" s="1"/>
  <c r="O21" i="17" s="1"/>
  <c r="AK16" i="1"/>
  <c r="N17" i="16" s="1"/>
  <c r="O17" i="16" s="1"/>
  <c r="AK22" i="1"/>
  <c r="N23" i="16" s="1"/>
  <c r="O23" i="16" s="1"/>
  <c r="AL13" i="1"/>
  <c r="N14" i="17" s="1"/>
  <c r="O14" i="17" s="1"/>
  <c r="AL23" i="1"/>
  <c r="N24" i="17" s="1"/>
  <c r="O24" i="17" s="1"/>
  <c r="AL18" i="1"/>
  <c r="N19" i="17" s="1"/>
  <c r="O19" i="17" s="1"/>
  <c r="AL14" i="1"/>
  <c r="N15" i="17" s="1"/>
  <c r="O15" i="17" s="1"/>
  <c r="AL21" i="1"/>
  <c r="N22" i="17" s="1"/>
  <c r="O22" i="17" s="1"/>
  <c r="AL16" i="1"/>
  <c r="N17" i="17" s="1"/>
  <c r="O17" i="17" s="1"/>
  <c r="AL17" i="1"/>
  <c r="N18" i="17" s="1"/>
  <c r="O18" i="17" s="1"/>
  <c r="AL24" i="1"/>
  <c r="N25" i="17" s="1"/>
  <c r="O25" i="17" s="1"/>
  <c r="AL15" i="1"/>
  <c r="N16" i="17" s="1"/>
  <c r="O16" i="17" s="1"/>
  <c r="AI11" i="1"/>
  <c r="N12" i="13" s="1"/>
  <c r="O12" i="13" s="1"/>
  <c r="AI10" i="1"/>
  <c r="N11" i="13" s="1"/>
  <c r="O11" i="13" s="1"/>
  <c r="AI29" i="1"/>
  <c r="N38" i="13" s="1"/>
  <c r="O38" i="13" s="1"/>
  <c r="AI12" i="1"/>
  <c r="N13" i="13" s="1"/>
  <c r="O13" i="13" s="1"/>
  <c r="AJ29" i="1"/>
  <c r="N38" i="14" s="1"/>
  <c r="O38" i="14" s="1"/>
  <c r="AK29" i="1"/>
  <c r="N38" i="16" s="1"/>
  <c r="O38" i="16" s="1"/>
  <c r="AL29" i="1"/>
  <c r="N38" i="17" s="1"/>
  <c r="O38" i="17" s="1"/>
  <c r="AI28" i="1"/>
  <c r="AJ28" i="1"/>
  <c r="AI9" i="1"/>
  <c r="N10" i="13" s="1"/>
  <c r="O10" i="13" s="1"/>
  <c r="AK28" i="1"/>
  <c r="N34" i="16" s="1"/>
  <c r="O34" i="16" s="1"/>
  <c r="AJ9" i="1"/>
  <c r="N10" i="14" s="1"/>
  <c r="O10" i="14" s="1"/>
  <c r="AJ10" i="1"/>
  <c r="N11" i="14" s="1"/>
  <c r="O11" i="14" s="1"/>
  <c r="AJ12" i="1"/>
  <c r="N13" i="14" s="1"/>
  <c r="O13" i="14" s="1"/>
  <c r="AK12" i="1"/>
  <c r="AK11" i="1"/>
  <c r="AL28" i="1"/>
  <c r="N34" i="17" s="1"/>
  <c r="O34" i="17" s="1"/>
  <c r="AK9" i="1"/>
  <c r="AK10" i="1"/>
  <c r="N11" i="16" s="1"/>
  <c r="AJ11" i="1"/>
  <c r="N12" i="14" s="1"/>
  <c r="O12" i="14" s="1"/>
  <c r="O102" i="17"/>
  <c r="C26" i="12"/>
  <c r="D18" i="12" s="1"/>
  <c r="Z9" i="1"/>
  <c r="H5" i="29" s="1"/>
  <c r="AF10" i="1"/>
  <c r="K11" i="17" s="1"/>
  <c r="Z10" i="1"/>
  <c r="H6" i="29" s="1"/>
  <c r="I6" i="29" s="1"/>
  <c r="AF11" i="1"/>
  <c r="Z11" i="1"/>
  <c r="H7" i="29" s="1"/>
  <c r="I7" i="29" s="1"/>
  <c r="AF12" i="1"/>
  <c r="K13" i="17" s="1"/>
  <c r="Z12" i="1"/>
  <c r="H8" i="29" s="1"/>
  <c r="I8" i="29" s="1"/>
  <c r="AF9" i="1"/>
  <c r="AH29" i="1"/>
  <c r="N38" i="11" s="1"/>
  <c r="O38" i="11" s="1"/>
  <c r="AH28" i="1"/>
  <c r="N34" i="11" s="1"/>
  <c r="O34" i="11" s="1"/>
  <c r="AH10" i="1"/>
  <c r="N11" i="11" s="1"/>
  <c r="O11" i="11" s="1"/>
  <c r="AH12" i="1"/>
  <c r="N13" i="11" s="1"/>
  <c r="O13" i="11" s="1"/>
  <c r="AH17" i="1"/>
  <c r="N18" i="11" s="1"/>
  <c r="O18" i="11" s="1"/>
  <c r="AH14" i="1"/>
  <c r="N15" i="11" s="1"/>
  <c r="O15" i="11" s="1"/>
  <c r="AH11" i="1"/>
  <c r="N12" i="11" s="1"/>
  <c r="O12" i="11" s="1"/>
  <c r="AH21" i="1"/>
  <c r="N22" i="11" s="1"/>
  <c r="O22" i="11" s="1"/>
  <c r="AH15" i="1"/>
  <c r="N16" i="11" s="1"/>
  <c r="O16" i="11" s="1"/>
  <c r="AH19" i="1"/>
  <c r="N20" i="11" s="1"/>
  <c r="O20" i="11" s="1"/>
  <c r="N23" i="13"/>
  <c r="O23" i="13" s="1"/>
  <c r="AH16" i="1"/>
  <c r="N17" i="11" s="1"/>
  <c r="O17" i="11" s="1"/>
  <c r="AH24" i="1"/>
  <c r="N25" i="11" s="1"/>
  <c r="O25" i="11" s="1"/>
  <c r="AH13" i="1"/>
  <c r="N14" i="11" s="1"/>
  <c r="O14" i="11" s="1"/>
  <c r="N25" i="13"/>
  <c r="O25" i="13" s="1"/>
  <c r="AH9" i="1"/>
  <c r="N10" i="11" s="1"/>
  <c r="O10" i="11" s="1"/>
  <c r="AH23" i="1"/>
  <c r="N24" i="11" s="1"/>
  <c r="O24" i="11" s="1"/>
  <c r="AH18" i="1"/>
  <c r="N19" i="11" s="1"/>
  <c r="O19" i="11" s="1"/>
  <c r="AH22" i="1"/>
  <c r="N23" i="11" s="1"/>
  <c r="O23" i="11" s="1"/>
  <c r="AH20" i="1"/>
  <c r="N21" i="11" s="1"/>
  <c r="O21" i="11" s="1"/>
  <c r="L11" i="17"/>
  <c r="W25" i="1"/>
  <c r="W36" i="1" s="1"/>
  <c r="O36" i="17"/>
  <c r="O35" i="17"/>
  <c r="M13" i="16"/>
  <c r="M10" i="16"/>
  <c r="M12" i="16"/>
  <c r="M11" i="16"/>
  <c r="AE25" i="1"/>
  <c r="N36" i="1"/>
  <c r="AA34" i="1"/>
  <c r="Q36" i="1"/>
  <c r="T36" i="1"/>
  <c r="J12" i="17" l="1"/>
  <c r="K12" i="17"/>
  <c r="K10" i="17"/>
  <c r="J10" i="17"/>
  <c r="H21" i="25"/>
  <c r="I28" i="29"/>
  <c r="F22" i="25"/>
  <c r="H21" i="29"/>
  <c r="I21" i="29" s="1"/>
  <c r="I5" i="29"/>
  <c r="AA12" i="1"/>
  <c r="G8" i="25"/>
  <c r="H8" i="25" s="1"/>
  <c r="AA11" i="1"/>
  <c r="G7" i="25"/>
  <c r="H7" i="25" s="1"/>
  <c r="AL9" i="1"/>
  <c r="N10" i="17" s="1"/>
  <c r="G5" i="25"/>
  <c r="AA10" i="1"/>
  <c r="G6" i="25"/>
  <c r="H6" i="25" s="1"/>
  <c r="AA9" i="1"/>
  <c r="AL11" i="1"/>
  <c r="N12" i="17" s="1"/>
  <c r="AL10" i="1"/>
  <c r="AL12" i="1"/>
  <c r="N13" i="17" s="1"/>
  <c r="AI34" i="1"/>
  <c r="Q40" i="1" s="1"/>
  <c r="O44" i="11"/>
  <c r="O27" i="11"/>
  <c r="AH34" i="1"/>
  <c r="N40" i="1" s="1"/>
  <c r="AH25" i="1"/>
  <c r="N39" i="1" s="1"/>
  <c r="N34" i="13"/>
  <c r="O34" i="13" s="1"/>
  <c r="O44" i="13" s="1"/>
  <c r="O27" i="14"/>
  <c r="O27" i="13"/>
  <c r="AL34" i="1"/>
  <c r="Z40" i="1" s="1"/>
  <c r="AI25" i="1"/>
  <c r="Q39" i="1" s="1"/>
  <c r="AJ25" i="1"/>
  <c r="T39" i="1" s="1"/>
  <c r="O44" i="16"/>
  <c r="N34" i="14"/>
  <c r="O34" i="14" s="1"/>
  <c r="O44" i="14" s="1"/>
  <c r="AJ34" i="1"/>
  <c r="T40" i="1" s="1"/>
  <c r="AK34" i="1"/>
  <c r="W40" i="1" s="1"/>
  <c r="O11" i="16"/>
  <c r="O44" i="17"/>
  <c r="AK25" i="1"/>
  <c r="W39" i="1" s="1"/>
  <c r="M11" i="17"/>
  <c r="M13" i="17"/>
  <c r="M12" i="17"/>
  <c r="M10" i="17"/>
  <c r="N12" i="16"/>
  <c r="O12" i="16" s="1"/>
  <c r="N13" i="16"/>
  <c r="O13" i="16" s="1"/>
  <c r="N10" i="16"/>
  <c r="O10" i="16" s="1"/>
  <c r="AF25" i="1"/>
  <c r="Z25" i="1"/>
  <c r="H5" i="25" l="1"/>
  <c r="G22" i="25"/>
  <c r="H22" i="25" s="1"/>
  <c r="Q44" i="11"/>
  <c r="O45" i="11"/>
  <c r="O106" i="11" s="1"/>
  <c r="Q44" i="13"/>
  <c r="Q41" i="1"/>
  <c r="E30" i="29" s="1"/>
  <c r="E31" i="29" s="1"/>
  <c r="E55" i="29" s="1"/>
  <c r="Q27" i="11"/>
  <c r="N41" i="1"/>
  <c r="D30" i="29" s="1"/>
  <c r="Q27" i="13"/>
  <c r="Q44" i="17"/>
  <c r="Q44" i="16"/>
  <c r="Q44" i="14"/>
  <c r="Q27" i="14"/>
  <c r="O45" i="14"/>
  <c r="AA40" i="1"/>
  <c r="O45" i="13"/>
  <c r="T41" i="1"/>
  <c r="F30" i="29" s="1"/>
  <c r="F31" i="29" s="1"/>
  <c r="F55" i="29" s="1"/>
  <c r="W41" i="1"/>
  <c r="G30" i="29" s="1"/>
  <c r="G31" i="29" s="1"/>
  <c r="G55" i="29" s="1"/>
  <c r="D4" i="12"/>
  <c r="O27" i="16"/>
  <c r="Q27" i="16" s="1"/>
  <c r="O12" i="17"/>
  <c r="O13" i="17"/>
  <c r="O10" i="17"/>
  <c r="AL25" i="1"/>
  <c r="Z39" i="1" s="1"/>
  <c r="AA39" i="1" s="1"/>
  <c r="N11" i="17"/>
  <c r="O11" i="17" s="1"/>
  <c r="Q94" i="1"/>
  <c r="AA25" i="1"/>
  <c r="Z36" i="1"/>
  <c r="AA36" i="1" l="1"/>
  <c r="D31" i="29"/>
  <c r="D55" i="29" s="1"/>
  <c r="W43" i="1"/>
  <c r="W90" i="1" s="1"/>
  <c r="F23" i="25"/>
  <c r="F31" i="25" s="1"/>
  <c r="T43" i="1"/>
  <c r="T90" i="1" s="1"/>
  <c r="E23" i="25"/>
  <c r="E31" i="25" s="1"/>
  <c r="N43" i="1"/>
  <c r="N90" i="1" s="1"/>
  <c r="C23" i="25"/>
  <c r="Q43" i="1"/>
  <c r="Q90" i="1" s="1"/>
  <c r="D23" i="25"/>
  <c r="D31" i="25" s="1"/>
  <c r="AA41" i="1"/>
  <c r="T95" i="1"/>
  <c r="O106" i="13"/>
  <c r="O106" i="14"/>
  <c r="T94" i="1"/>
  <c r="O27" i="17"/>
  <c r="O45" i="16"/>
  <c r="O106" i="16" s="1"/>
  <c r="Z41" i="1"/>
  <c r="H30" i="29" s="1"/>
  <c r="H31" i="29" s="1"/>
  <c r="H55" i="29" s="1"/>
  <c r="AA43" i="1" l="1"/>
  <c r="V93" i="1"/>
  <c r="S93" i="1"/>
  <c r="L110" i="14" s="1"/>
  <c r="O110" i="14" s="1"/>
  <c r="O114" i="14" s="1"/>
  <c r="O121" i="14" s="1"/>
  <c r="P93" i="1"/>
  <c r="L110" i="13" s="1"/>
  <c r="O110" i="13" s="1"/>
  <c r="O114" i="13" s="1"/>
  <c r="O121" i="13" s="1"/>
  <c r="M93" i="1"/>
  <c r="L110" i="11" s="1"/>
  <c r="O110" i="11" s="1"/>
  <c r="O114" i="11" s="1"/>
  <c r="O121" i="11" s="1"/>
  <c r="I30" i="29"/>
  <c r="Q106" i="14"/>
  <c r="Q106" i="11"/>
  <c r="C31" i="25"/>
  <c r="Z43" i="1"/>
  <c r="Z90" i="1" s="1"/>
  <c r="G23" i="25"/>
  <c r="G31" i="25" s="1"/>
  <c r="Q106" i="13"/>
  <c r="W95" i="1"/>
  <c r="W94" i="1"/>
  <c r="O45" i="17"/>
  <c r="O106" i="17" s="1"/>
  <c r="Q27" i="17"/>
  <c r="Q106" i="16"/>
  <c r="D3" i="12"/>
  <c r="D6" i="12" s="1"/>
  <c r="D29" i="12" s="1"/>
  <c r="I31" i="29" l="1"/>
  <c r="AA90" i="1"/>
  <c r="T93" i="1"/>
  <c r="T96" i="1" s="1"/>
  <c r="F56" i="29" s="1"/>
  <c r="F57" i="29" s="1"/>
  <c r="Q93" i="1"/>
  <c r="Q96" i="1" s="1"/>
  <c r="E56" i="29" s="1"/>
  <c r="E57" i="29" s="1"/>
  <c r="N93" i="1"/>
  <c r="Y93" i="1" s="1"/>
  <c r="H31" i="25"/>
  <c r="H23" i="25"/>
  <c r="L110" i="16"/>
  <c r="O110" i="16" s="1"/>
  <c r="Q106" i="17"/>
  <c r="Z95" i="1"/>
  <c r="AA95" i="1" s="1"/>
  <c r="Z94" i="1"/>
  <c r="AA94" i="1" s="1"/>
  <c r="W93" i="1"/>
  <c r="W96" i="1" s="1"/>
  <c r="G56" i="29" s="1"/>
  <c r="G57" i="29" s="1"/>
  <c r="N96" i="1" l="1"/>
  <c r="D56" i="29" s="1"/>
  <c r="D57" i="29" s="1"/>
  <c r="Q98" i="1"/>
  <c r="Q95" i="10" s="1"/>
  <c r="E33" i="25"/>
  <c r="E34" i="25" s="1"/>
  <c r="T98" i="1"/>
  <c r="T95" i="10" s="1"/>
  <c r="D33" i="25"/>
  <c r="D34" i="25" s="1"/>
  <c r="I55" i="29"/>
  <c r="W98" i="1"/>
  <c r="F33" i="25"/>
  <c r="F34" i="25" s="1"/>
  <c r="AB93" i="1"/>
  <c r="Z93" i="1"/>
  <c r="L110" i="17"/>
  <c r="O110" i="17" s="1"/>
  <c r="O114" i="17" s="1"/>
  <c r="O121" i="17" s="1"/>
  <c r="O114" i="16"/>
  <c r="O121" i="16" s="1"/>
  <c r="Q121" i="14" l="1"/>
  <c r="T96" i="10"/>
  <c r="Q121" i="13"/>
  <c r="Q96" i="10"/>
  <c r="C33" i="25"/>
  <c r="C34" i="25" s="1"/>
  <c r="N98" i="1"/>
  <c r="N95" i="10" s="1"/>
  <c r="Q121" i="16"/>
  <c r="AA93" i="1"/>
  <c r="Z96" i="1"/>
  <c r="H56" i="29" s="1"/>
  <c r="D30" i="12"/>
  <c r="D31" i="12" s="1"/>
  <c r="Q121" i="11" l="1"/>
  <c r="F56" i="30"/>
  <c r="F57" i="30" s="1"/>
  <c r="T98" i="10"/>
  <c r="E56" i="30"/>
  <c r="E57" i="30" s="1"/>
  <c r="Q98" i="10"/>
  <c r="H57" i="29"/>
  <c r="I56" i="29"/>
  <c r="Z98" i="1"/>
  <c r="Q121" i="17" s="1"/>
  <c r="G33" i="25"/>
  <c r="AA96" i="1"/>
  <c r="AA95" i="10" l="1"/>
  <c r="N96" i="10"/>
  <c r="I57" i="29"/>
  <c r="AA98" i="1"/>
  <c r="G34" i="25"/>
  <c r="H34" i="25" s="1"/>
  <c r="H33" i="25"/>
  <c r="D56" i="30" l="1"/>
  <c r="AA96" i="10"/>
  <c r="N98" i="10"/>
  <c r="AA98" i="10" s="1"/>
  <c r="AA100" i="10" s="1"/>
  <c r="F31" i="12"/>
  <c r="AA101" i="10" l="1"/>
  <c r="I56" i="30"/>
  <c r="I57" i="30" s="1"/>
  <c r="D57" i="30"/>
</calcChain>
</file>

<file path=xl/comments1.xml><?xml version="1.0" encoding="utf-8"?>
<comments xmlns="http://schemas.openxmlformats.org/spreadsheetml/2006/main">
  <authors>
    <author>Markham, Bobby</author>
  </authors>
  <commentList>
    <comment ref="D30" authorId="0" shapeId="0">
      <text>
        <r>
          <rPr>
            <b/>
            <sz val="9"/>
            <color indexed="81"/>
            <rFont val="Tahoma"/>
            <family val="2"/>
          </rPr>
          <t>Use the disipline that your Grad Student is enrolled in.</t>
        </r>
        <r>
          <rPr>
            <sz val="9"/>
            <color indexed="81"/>
            <rFont val="Tahoma"/>
            <family val="2"/>
          </rPr>
          <t xml:space="preserve">
</t>
        </r>
      </text>
    </comment>
    <comment ref="E30" authorId="0" shapeId="0">
      <text>
        <r>
          <rPr>
            <b/>
            <sz val="9"/>
            <color indexed="81"/>
            <rFont val="Tahoma"/>
            <family val="2"/>
          </rPr>
          <t>Leave blank if TR is not allowed</t>
        </r>
        <r>
          <rPr>
            <sz val="9"/>
            <color indexed="81"/>
            <rFont val="Tahoma"/>
            <family val="2"/>
          </rPr>
          <t xml:space="preserve">
Please consult with our college administrative staff to determine the proper amount of stipend reduction.  
 Any offers which do not cover the reduction in revenue must be approved of the unit supervisor.</t>
        </r>
      </text>
    </comment>
    <comment ref="I30" authorId="0" shapeId="0">
      <text>
        <r>
          <rPr>
            <b/>
            <sz val="9"/>
            <color indexed="81"/>
            <rFont val="Tahoma"/>
            <family val="2"/>
          </rPr>
          <t xml:space="preserve">Choose Appt. Type
</t>
        </r>
        <r>
          <rPr>
            <sz val="9"/>
            <color indexed="81"/>
            <rFont val="Tahoma"/>
            <family val="2"/>
          </rPr>
          <t xml:space="preserve">
</t>
        </r>
      </text>
    </comment>
    <comment ref="D31" authorId="0" shapeId="0">
      <text>
        <r>
          <rPr>
            <b/>
            <sz val="9"/>
            <color indexed="81"/>
            <rFont val="Tahoma"/>
            <family val="2"/>
          </rPr>
          <t>Use the disipline that your Grad Student is enrolled in.</t>
        </r>
        <r>
          <rPr>
            <sz val="9"/>
            <color indexed="81"/>
            <rFont val="Tahoma"/>
            <family val="2"/>
          </rPr>
          <t xml:space="preserve">
</t>
        </r>
      </text>
    </comment>
    <comment ref="E31" authorId="0" shapeId="0">
      <text>
        <r>
          <rPr>
            <b/>
            <sz val="9"/>
            <color indexed="81"/>
            <rFont val="Tahoma"/>
            <family val="2"/>
          </rPr>
          <t xml:space="preserve">Leave blank if TR is not allowed
</t>
        </r>
        <r>
          <rPr>
            <sz val="9"/>
            <color indexed="81"/>
            <rFont val="Tahoma"/>
            <family val="2"/>
          </rPr>
          <t xml:space="preserve">
Please consult with our college administrative staff to determine the proper amount of stipend reduction.  
 Any offers which do not cover the reduction in revenue must be approved of the unit supervisor.</t>
        </r>
      </text>
    </comment>
  </commentList>
</comments>
</file>

<file path=xl/comments2.xml><?xml version="1.0" encoding="utf-8"?>
<comments xmlns="http://schemas.openxmlformats.org/spreadsheetml/2006/main">
  <authors>
    <author>Markham, Bobby</author>
  </authors>
  <commentList>
    <comment ref="D9" authorId="0" shapeId="0">
      <text>
        <r>
          <rPr>
            <b/>
            <sz val="9"/>
            <color indexed="81"/>
            <rFont val="Tahoma"/>
            <family val="2"/>
          </rPr>
          <t>Use the disipline that your Grad Student is enrolled in.</t>
        </r>
        <r>
          <rPr>
            <sz val="9"/>
            <color indexed="81"/>
            <rFont val="Tahoma"/>
            <family val="2"/>
          </rPr>
          <t xml:space="preserve">
</t>
        </r>
      </text>
    </comment>
    <comment ref="E9" authorId="0" shapeId="0">
      <text>
        <r>
          <rPr>
            <b/>
            <sz val="9"/>
            <color indexed="81"/>
            <rFont val="Tahoma"/>
            <family val="2"/>
          </rPr>
          <t>Leave blank if TR is not allowed</t>
        </r>
        <r>
          <rPr>
            <sz val="9"/>
            <color indexed="81"/>
            <rFont val="Tahoma"/>
            <family val="2"/>
          </rPr>
          <t xml:space="preserve">
Please consult with our college administrative staff to determine the proper amount of stipend reduction.  
 Any offers which do not cover the reduction in revenue must be approved of the unit supervisor.</t>
        </r>
      </text>
    </comment>
    <comment ref="D10" authorId="0" shapeId="0">
      <text>
        <r>
          <rPr>
            <b/>
            <sz val="9"/>
            <color indexed="81"/>
            <rFont val="Tahoma"/>
            <family val="2"/>
          </rPr>
          <t>Use the disipline that your Grad Student is enrolled in.</t>
        </r>
        <r>
          <rPr>
            <sz val="9"/>
            <color indexed="81"/>
            <rFont val="Tahoma"/>
            <family val="2"/>
          </rPr>
          <t xml:space="preserve">
</t>
        </r>
      </text>
    </comment>
    <comment ref="E10" authorId="0" shapeId="0">
      <text>
        <r>
          <rPr>
            <b/>
            <sz val="9"/>
            <color indexed="81"/>
            <rFont val="Tahoma"/>
            <family val="2"/>
          </rPr>
          <t>Leave blank if TR is not allowed</t>
        </r>
        <r>
          <rPr>
            <sz val="9"/>
            <color indexed="81"/>
            <rFont val="Tahoma"/>
            <family val="2"/>
          </rPr>
          <t xml:space="preserve">
Please consult with our college administrative staff to determine the proper amount of stipend reduction.  
 Any offers which do not cover the reduction in revenue must be approved of the unit supervisor.</t>
        </r>
      </text>
    </comment>
    <comment ref="D11" authorId="0" shapeId="0">
      <text>
        <r>
          <rPr>
            <b/>
            <sz val="9"/>
            <color indexed="81"/>
            <rFont val="Tahoma"/>
            <family val="2"/>
          </rPr>
          <t>Use the disipline that your Grad Student is enrolled in.</t>
        </r>
        <r>
          <rPr>
            <sz val="9"/>
            <color indexed="81"/>
            <rFont val="Tahoma"/>
            <family val="2"/>
          </rPr>
          <t xml:space="preserve">
</t>
        </r>
      </text>
    </comment>
    <comment ref="E11" authorId="0" shapeId="0">
      <text>
        <r>
          <rPr>
            <b/>
            <sz val="9"/>
            <color indexed="81"/>
            <rFont val="Tahoma"/>
            <family val="2"/>
          </rPr>
          <t>Leave blank if TR is not allowed</t>
        </r>
        <r>
          <rPr>
            <sz val="9"/>
            <color indexed="81"/>
            <rFont val="Tahoma"/>
            <family val="2"/>
          </rPr>
          <t xml:space="preserve">
Please consult with our college administrative staff to determine the proper amount of stipend reduction.  
 Any offers which do not cover the reduction in revenue must be approved of the unit supervisor.</t>
        </r>
      </text>
    </comment>
    <comment ref="D12" authorId="0" shapeId="0">
      <text>
        <r>
          <rPr>
            <b/>
            <sz val="9"/>
            <color indexed="81"/>
            <rFont val="Tahoma"/>
            <family val="2"/>
          </rPr>
          <t>Use the disipline that your Grad Student is enrolled in.</t>
        </r>
        <r>
          <rPr>
            <sz val="9"/>
            <color indexed="81"/>
            <rFont val="Tahoma"/>
            <family val="2"/>
          </rPr>
          <t xml:space="preserve">
</t>
        </r>
      </text>
    </comment>
    <comment ref="E12" authorId="0" shapeId="0">
      <text>
        <r>
          <rPr>
            <b/>
            <sz val="9"/>
            <color indexed="81"/>
            <rFont val="Tahoma"/>
            <family val="2"/>
          </rPr>
          <t>Leave blank if TR is not allowed</t>
        </r>
        <r>
          <rPr>
            <sz val="9"/>
            <color indexed="81"/>
            <rFont val="Tahoma"/>
            <family val="2"/>
          </rPr>
          <t xml:space="preserve">
Please consult with our college administrative staff to determine the proper amount of stipend reduction.  
 Any offers which do not cover the reduction in revenue must be approved of the unit supervisor.</t>
        </r>
      </text>
    </comment>
    <comment ref="D13" authorId="0" shapeId="0">
      <text>
        <r>
          <rPr>
            <b/>
            <sz val="9"/>
            <color indexed="81"/>
            <rFont val="Tahoma"/>
            <family val="2"/>
          </rPr>
          <t>Use the disipline that your Grad Student is enrolled in.</t>
        </r>
        <r>
          <rPr>
            <sz val="9"/>
            <color indexed="81"/>
            <rFont val="Tahoma"/>
            <family val="2"/>
          </rPr>
          <t xml:space="preserve">
</t>
        </r>
      </text>
    </comment>
    <comment ref="E13" authorId="0" shapeId="0">
      <text>
        <r>
          <rPr>
            <b/>
            <sz val="9"/>
            <color indexed="81"/>
            <rFont val="Tahoma"/>
            <family val="2"/>
          </rPr>
          <t>Leave blank if TR is not allowed</t>
        </r>
        <r>
          <rPr>
            <sz val="9"/>
            <color indexed="81"/>
            <rFont val="Tahoma"/>
            <family val="2"/>
          </rPr>
          <t xml:space="preserve">
Please consult with our college administrative staff to determine the proper amount of stipend reduction.  
 Any offers which do not cover the reduction in revenue must be approved of the unit supervisor.</t>
        </r>
      </text>
    </comment>
    <comment ref="D14" authorId="0" shapeId="0">
      <text>
        <r>
          <rPr>
            <b/>
            <sz val="9"/>
            <color indexed="81"/>
            <rFont val="Tahoma"/>
            <family val="2"/>
          </rPr>
          <t>Use the disipline that your Grad Student is enrolled in.</t>
        </r>
        <r>
          <rPr>
            <sz val="9"/>
            <color indexed="81"/>
            <rFont val="Tahoma"/>
            <family val="2"/>
          </rPr>
          <t xml:space="preserve">
</t>
        </r>
      </text>
    </comment>
    <comment ref="E14" authorId="0" shapeId="0">
      <text>
        <r>
          <rPr>
            <b/>
            <sz val="9"/>
            <color indexed="81"/>
            <rFont val="Tahoma"/>
            <family val="2"/>
          </rPr>
          <t>Leave blank if TR is not allowed</t>
        </r>
        <r>
          <rPr>
            <sz val="9"/>
            <color indexed="81"/>
            <rFont val="Tahoma"/>
            <family val="2"/>
          </rPr>
          <t xml:space="preserve">
Please consult with our college administrative staff to determine the proper amount of stipend reduction.  
 Any offers which do not cover the reduction in revenue must be approved of the unit supervisor.</t>
        </r>
      </text>
    </comment>
  </commentList>
</comments>
</file>

<file path=xl/comments3.xml><?xml version="1.0" encoding="utf-8"?>
<comments xmlns="http://schemas.openxmlformats.org/spreadsheetml/2006/main">
  <authors>
    <author>Reed, Annalisa</author>
  </authors>
  <commentList>
    <comment ref="G2" authorId="0" shapeId="0">
      <text>
        <r>
          <rPr>
            <b/>
            <sz val="9"/>
            <color indexed="81"/>
            <rFont val="Tahoma"/>
            <family val="2"/>
          </rPr>
          <t>Reed, Annalisa:</t>
        </r>
        <r>
          <rPr>
            <sz val="9"/>
            <color indexed="81"/>
            <rFont val="Tahoma"/>
            <family val="2"/>
          </rPr>
          <t xml:space="preserve">
*also includes: Horticulture, Interdisciplinary, Natural Resource Management, Plant, Wildlife, and Fisheries &amp; Geography</t>
        </r>
      </text>
    </comment>
  </commentList>
</comments>
</file>

<file path=xl/sharedStrings.xml><?xml version="1.0" encoding="utf-8"?>
<sst xmlns="http://schemas.openxmlformats.org/spreadsheetml/2006/main" count="1749" uniqueCount="560">
  <si>
    <t>South Dakota State University</t>
  </si>
  <si>
    <t>(where the majority of the 1st year, July - June)</t>
  </si>
  <si>
    <t>Salary Increase:</t>
  </si>
  <si>
    <t xml:space="preserve">A. </t>
  </si>
  <si>
    <t>First</t>
  </si>
  <si>
    <t>Last</t>
  </si>
  <si>
    <t>Project Role</t>
  </si>
  <si>
    <t>Base Salary</t>
  </si>
  <si>
    <t>Year 1</t>
  </si>
  <si>
    <t>Year 2</t>
  </si>
  <si>
    <t>Year 3</t>
  </si>
  <si>
    <t>Year 4</t>
  </si>
  <si>
    <t>Year 5</t>
  </si>
  <si>
    <t>Funds Requested</t>
  </si>
  <si>
    <t>Total Funds Requested</t>
  </si>
  <si>
    <t>B.</t>
  </si>
  <si>
    <t>FY 15</t>
  </si>
  <si>
    <t>FY 18</t>
  </si>
  <si>
    <t>FY 19</t>
  </si>
  <si>
    <t>FY 20</t>
  </si>
  <si>
    <t>FY 21</t>
  </si>
  <si>
    <t>FY 22</t>
  </si>
  <si>
    <t>FY 23</t>
  </si>
  <si>
    <t>FY 24</t>
  </si>
  <si>
    <t>FY 25</t>
  </si>
  <si>
    <t>FY 26</t>
  </si>
  <si>
    <t>FY 27</t>
  </si>
  <si>
    <t>FY 28</t>
  </si>
  <si>
    <t>FY 29</t>
  </si>
  <si>
    <t>Appointment</t>
  </si>
  <si>
    <t xml:space="preserve">FY </t>
  </si>
  <si>
    <t>H&amp;L</t>
  </si>
  <si>
    <t>TR</t>
  </si>
  <si>
    <t>Years</t>
  </si>
  <si>
    <t>Summer</t>
  </si>
  <si>
    <t>Fringe</t>
  </si>
  <si>
    <t>(9,10,12)</t>
  </si>
  <si>
    <t>Post Doc Associates</t>
  </si>
  <si>
    <r>
      <t xml:space="preserve">Other </t>
    </r>
    <r>
      <rPr>
        <sz val="8"/>
        <color theme="1"/>
        <rFont val="Calibri"/>
        <family val="2"/>
        <scheme val="minor"/>
      </rPr>
      <t>(having the same monthly salary)</t>
    </r>
  </si>
  <si>
    <t>Graduate Students</t>
  </si>
  <si>
    <t>Undergrad Students</t>
  </si>
  <si>
    <t>Other (not having the same monthly salary)</t>
  </si>
  <si>
    <t>Total Salaries &amp; Wages</t>
  </si>
  <si>
    <t>C.</t>
  </si>
  <si>
    <t>Fringe Benefits (Automatically Calculated Based on Established Rates)</t>
  </si>
  <si>
    <t>Beginning H&amp;L Rate</t>
  </si>
  <si>
    <t>Y</t>
  </si>
  <si>
    <t>N</t>
  </si>
  <si>
    <t>Total Fringe Benefits</t>
  </si>
  <si>
    <t>Total Salaries, Wages &amp; Benefits (A+B+C)</t>
  </si>
  <si>
    <t>D.</t>
  </si>
  <si>
    <t>E.</t>
  </si>
  <si>
    <t>Travel</t>
  </si>
  <si>
    <t>Foreign</t>
  </si>
  <si>
    <t>Total Travel</t>
  </si>
  <si>
    <t>F.</t>
  </si>
  <si>
    <t>Participant Support Costs</t>
  </si>
  <si>
    <t>Stipends</t>
  </si>
  <si>
    <t>Subsistence</t>
  </si>
  <si>
    <t>Other</t>
  </si>
  <si>
    <t>exempt for indirect?</t>
  </si>
  <si>
    <t>Total Number of Participants</t>
  </si>
  <si>
    <t>G.</t>
  </si>
  <si>
    <t>Other Direct Costs</t>
  </si>
  <si>
    <t>Materials &amp; Supplies</t>
  </si>
  <si>
    <t>Publication Costs</t>
  </si>
  <si>
    <t>Computer Services</t>
  </si>
  <si>
    <t>a)</t>
  </si>
  <si>
    <t>b)</t>
  </si>
  <si>
    <t>c)</t>
  </si>
  <si>
    <t>d)</t>
  </si>
  <si>
    <t>Total Other Direct Costs</t>
  </si>
  <si>
    <t>H.</t>
  </si>
  <si>
    <t>Total Direct Costs (A through G)</t>
  </si>
  <si>
    <t>J.</t>
  </si>
  <si>
    <t>Modified Total Direct Cost (MTDC) rate:</t>
  </si>
  <si>
    <t xml:space="preserve">             Total Direct Cost (TDC) rate:</t>
  </si>
  <si>
    <t>Total Indirect Costs ( F&amp;A )</t>
  </si>
  <si>
    <t>K.</t>
  </si>
  <si>
    <t>Total Costs</t>
  </si>
  <si>
    <t xml:space="preserve"> </t>
  </si>
  <si>
    <t>Sponsor:</t>
  </si>
  <si>
    <t>Due Date:</t>
  </si>
  <si>
    <t>Number of years:</t>
  </si>
  <si>
    <t>Proposal:</t>
  </si>
  <si>
    <t>% Effort</t>
  </si>
  <si>
    <t>Indirect Costs ( do not enter percents in both MTDC &amp; TDC)</t>
  </si>
  <si>
    <t>MTDC</t>
  </si>
  <si>
    <t>Total Senior Personnel</t>
  </si>
  <si>
    <t>Other Personnel (show number in boxes)</t>
  </si>
  <si>
    <t>H&amp;L Eligible</t>
  </si>
  <si>
    <t>Total Other Personnel</t>
  </si>
  <si>
    <t>Senior Personnel</t>
  </si>
  <si>
    <t>Other Personnel</t>
  </si>
  <si>
    <t>Domestic (include Canada, Mexico, and U.S. Possessions)</t>
  </si>
  <si>
    <t>Beginning Fiscal Year:</t>
  </si>
  <si>
    <t>Yr 1</t>
  </si>
  <si>
    <t>Yr2</t>
  </si>
  <si>
    <t>Yr3</t>
  </si>
  <si>
    <t>YR 4</t>
  </si>
  <si>
    <t>Yr 5</t>
  </si>
  <si>
    <t>Months</t>
  </si>
  <si>
    <t>Third Party Match</t>
  </si>
  <si>
    <t>Yr 3</t>
  </si>
  <si>
    <t>Total</t>
  </si>
  <si>
    <t>Enter a proposal name, sponsor, date the proposal is due and PI name.</t>
  </si>
  <si>
    <t>Pick the number of years that will be proposed.</t>
  </si>
  <si>
    <t>Enter the base salary for each senior personnel.  ( if you need more lines right click on the number and insert, then copy the row above down).</t>
  </si>
  <si>
    <t>Pick the fiscal year where the majority of the work will be done.</t>
  </si>
  <si>
    <t>Enter the names of your senior personnel, role in the project.</t>
  </si>
  <si>
    <t>Enter the academic year % effort, and summer effort if applicable for each year proposed.</t>
  </si>
  <si>
    <t>Enter in the BLUE areas</t>
  </si>
  <si>
    <t>SDSU Budget form instructions</t>
  </si>
  <si>
    <t>Enter equipment if applicable for any equipment over $5,000.</t>
  </si>
  <si>
    <t>Enter travel</t>
  </si>
  <si>
    <t>Enter participant cost if applicable, and if included /excluded from base cost calculation.</t>
  </si>
  <si>
    <t>Enter "other direct costs".</t>
  </si>
  <si>
    <t xml:space="preserve"> If you have 2 grad students at same pay then enter 2 in the number at the front.</t>
  </si>
  <si>
    <t xml:space="preserve"> You can change the tuition / tuition remission amounts.</t>
  </si>
  <si>
    <t>Enter the salary % increase you want to propose.</t>
  </si>
  <si>
    <t>Pick the appointment for each - either 9,10 or 12 months</t>
  </si>
  <si>
    <t>Pick the number of "other personnel", if they are health and life legible, base salary, if eligible for tuition remission, and % effort.</t>
  </si>
  <si>
    <t xml:space="preserve">Indirect cost -  enter percent as directed by your RFP. </t>
  </si>
  <si>
    <t>Match tab - the only thing different is under participant support cost and that is where you would put your 3rd party match</t>
  </si>
  <si>
    <t>Contractual</t>
  </si>
  <si>
    <t>Compliance issues dealing with Awards</t>
  </si>
  <si>
    <r>
      <t>Administrative and Clerical Staff Salaries</t>
    </r>
    <r>
      <rPr>
        <sz val="10"/>
        <color theme="1"/>
        <rFont val="Arial"/>
        <family val="2"/>
      </rPr>
      <t> should normally be listed as indirect costs.</t>
    </r>
  </si>
  <si>
    <r>
      <t>Postage and Local Telephone Costs</t>
    </r>
    <r>
      <rPr>
        <b/>
        <sz val="10"/>
        <color theme="1"/>
        <rFont val="Arial"/>
        <family val="2"/>
      </rPr>
      <t xml:space="preserve"> </t>
    </r>
    <r>
      <rPr>
        <sz val="10"/>
        <color theme="1"/>
        <rFont val="Arial"/>
        <family val="2"/>
      </rPr>
      <t>are normally not allowable as direct costs.</t>
    </r>
  </si>
  <si>
    <r>
      <t>Memberships</t>
    </r>
    <r>
      <rPr>
        <b/>
        <sz val="10"/>
        <color theme="1"/>
        <rFont val="Arial"/>
        <family val="2"/>
      </rPr>
      <t xml:space="preserve"> </t>
    </r>
    <r>
      <rPr>
        <sz val="10"/>
        <color theme="1"/>
        <rFont val="Arial"/>
        <family val="2"/>
      </rPr>
      <t>are not normally allowable direct costs unless the sponsoring agency requires the</t>
    </r>
  </si>
  <si>
    <t>membership for the performance of the project</t>
  </si>
  <si>
    <r>
      <t>General Office Supplies</t>
    </r>
    <r>
      <rPr>
        <b/>
        <sz val="10"/>
        <color theme="1"/>
        <rFont val="Arial"/>
        <family val="2"/>
      </rPr>
      <t xml:space="preserve"> </t>
    </r>
    <r>
      <rPr>
        <sz val="10"/>
        <color theme="1"/>
        <rFont val="Arial"/>
        <family val="2"/>
      </rPr>
      <t xml:space="preserve">such as paper, pencils, pens, all purpose notebooks, binders, ink cartridges, file </t>
    </r>
  </si>
  <si>
    <t>folders, etc. normally cannot be considered as allowable direct costs on a sponsored project.</t>
  </si>
  <si>
    <t>An explanation of how these costs will be used in conduct of research and sponsored projects and an inclusion of an assurance statement that the</t>
  </si>
  <si>
    <t xml:space="preserve"> item will be used primarily for research or sponsored project use must be provided in the budget justification.</t>
  </si>
  <si>
    <r>
      <rPr>
        <b/>
        <u/>
        <sz val="11"/>
        <color theme="1"/>
        <rFont val="Calibri"/>
        <family val="2"/>
        <scheme val="minor"/>
      </rPr>
      <t>PI Time</t>
    </r>
    <r>
      <rPr>
        <sz val="11"/>
        <color theme="1"/>
        <rFont val="Calibri"/>
        <family val="2"/>
        <scheme val="minor"/>
      </rPr>
      <t xml:space="preserve"> other than equipment grants and other special cases.  PI must put their time into the grant.</t>
    </r>
  </si>
  <si>
    <r>
      <t xml:space="preserve">Computers, network charges and electronic devices, </t>
    </r>
    <r>
      <rPr>
        <sz val="10"/>
        <color theme="1"/>
        <rFont val="Arial"/>
        <family val="2"/>
      </rPr>
      <t xml:space="preserve">only items to be used primarily or exclusively for research or </t>
    </r>
  </si>
  <si>
    <t>sponsored projects may be charged as a direct cost.</t>
  </si>
  <si>
    <t>If the matching funds are from a 3rd party , then you must have a letter of commitment from them.</t>
  </si>
  <si>
    <t xml:space="preserve">Matching </t>
  </si>
  <si>
    <t>Personnel</t>
  </si>
  <si>
    <r>
      <t>Voluntary Cost Matching</t>
    </r>
    <r>
      <rPr>
        <sz val="11"/>
        <color theme="1"/>
        <rFont val="Calibri"/>
        <family val="2"/>
        <scheme val="minor"/>
      </rPr>
      <t xml:space="preserve"> is not permitted without permission from Vice President of Research</t>
    </r>
  </si>
  <si>
    <t>Direct Cost</t>
  </si>
  <si>
    <t>%</t>
  </si>
  <si>
    <t>Hrs /  Month</t>
  </si>
  <si>
    <t>Per Year</t>
  </si>
  <si>
    <t>per Month</t>
  </si>
  <si>
    <t>per week</t>
  </si>
  <si>
    <r>
      <t xml:space="preserve">Subawards </t>
    </r>
    <r>
      <rPr>
        <sz val="9"/>
        <color theme="1"/>
        <rFont val="Calibri"/>
        <family val="2"/>
        <scheme val="minor"/>
      </rPr>
      <t>(if you need more than 4 please let grants admin know)</t>
    </r>
  </si>
  <si>
    <t>Permanent Equipment ( List items and total dollar amount  exceeding $5,000)</t>
  </si>
  <si>
    <t>3% inc</t>
  </si>
  <si>
    <t>Salaries</t>
  </si>
  <si>
    <t>YR 2</t>
  </si>
  <si>
    <t>Yr 4</t>
  </si>
  <si>
    <t>e)</t>
  </si>
  <si>
    <t>f)</t>
  </si>
  <si>
    <t>g)</t>
  </si>
  <si>
    <t>h)</t>
  </si>
  <si>
    <t>i)</t>
  </si>
  <si>
    <t>j)</t>
  </si>
  <si>
    <t>k)</t>
  </si>
  <si>
    <t>l)</t>
  </si>
  <si>
    <t>m)</t>
  </si>
  <si>
    <t>n)</t>
  </si>
  <si>
    <t>o)</t>
  </si>
  <si>
    <t>p)</t>
  </si>
  <si>
    <t>q)</t>
  </si>
  <si>
    <t>r)</t>
  </si>
  <si>
    <t>s)</t>
  </si>
  <si>
    <t>t)</t>
  </si>
  <si>
    <t>Unrecovered IDC - Award</t>
  </si>
  <si>
    <t>Benefits</t>
  </si>
  <si>
    <t>% Match</t>
  </si>
  <si>
    <t>% Cost Share</t>
  </si>
  <si>
    <t>Please list brief description of equipment.</t>
  </si>
  <si>
    <t>RESEARCH &amp; RELATED BUDGET - SECTION A &amp; B, BUDGET PERIOD 1</t>
  </si>
  <si>
    <t>ORGANIZATIONAL DUNS:</t>
  </si>
  <si>
    <t>Budget Type:</t>
  </si>
  <si>
    <t>Enter name of Organization:</t>
  </si>
  <si>
    <t>Start Date:</t>
  </si>
  <si>
    <t>End Date:</t>
  </si>
  <si>
    <t>Budget Period</t>
  </si>
  <si>
    <t>A. Senior/Key Person</t>
  </si>
  <si>
    <t>Prefix</t>
  </si>
  <si>
    <t>First Name</t>
  </si>
  <si>
    <t>Middle Name</t>
  </si>
  <si>
    <t>Last Name</t>
  </si>
  <si>
    <t>Suffix</t>
  </si>
  <si>
    <t>Base Salary ($)</t>
  </si>
  <si>
    <t>Sum Months</t>
  </si>
  <si>
    <t>Requested Salary ($)</t>
  </si>
  <si>
    <t>Fringe Benefits ($)</t>
  </si>
  <si>
    <t>Funds Requested ($)</t>
  </si>
  <si>
    <t>Acad. Months</t>
  </si>
  <si>
    <t>Cal. Months</t>
  </si>
  <si>
    <t>Start:</t>
  </si>
  <si>
    <t>Finish:</t>
  </si>
  <si>
    <t>Budget Type</t>
  </si>
  <si>
    <t>Project</t>
  </si>
  <si>
    <t>Subaward</t>
  </si>
  <si>
    <t>Total Funds requested for all Senior Key Persons in the attached file</t>
  </si>
  <si>
    <t>Projected</t>
  </si>
  <si>
    <t>Subaward/Consortium</t>
  </si>
  <si>
    <t>Additional Senior Key Persons:</t>
  </si>
  <si>
    <t>B. Other Personnel</t>
  </si>
  <si>
    <t xml:space="preserve">* Number of Personnel </t>
  </si>
  <si>
    <t>Post Doctoral Associates</t>
  </si>
  <si>
    <t>Undergraduate Students</t>
  </si>
  <si>
    <t>Secretarial/Clerical</t>
  </si>
  <si>
    <t>Total Number Other Personnel</t>
  </si>
  <si>
    <t>Total Salary, Wages and Fringe Benefits (A+B)</t>
  </si>
  <si>
    <t>C. Equipment Description</t>
  </si>
  <si>
    <t>List items and dollar amount for each item exceeding $5,000</t>
  </si>
  <si>
    <t>Equipment item</t>
  </si>
  <si>
    <t>* Funds Requested ($)</t>
  </si>
  <si>
    <t>Total funds requested for all equipment listed in the attached file</t>
  </si>
  <si>
    <t>Additional Equipment:</t>
  </si>
  <si>
    <t>D. Travel</t>
  </si>
  <si>
    <t>Domestic Travel Costs ( Incl. Canada, Mexico and U.S. Possessions)</t>
  </si>
  <si>
    <t>Foreign Travel Costs</t>
  </si>
  <si>
    <t>Total Travel Cost</t>
  </si>
  <si>
    <t>E. Participant/Trainee Support Costs</t>
  </si>
  <si>
    <t>Tuition/Fees/Health Insurance</t>
  </si>
  <si>
    <t>Number of Participants/Trainees</t>
  </si>
  <si>
    <t>Total Participant/Trainee Support Costs</t>
  </si>
  <si>
    <t>F. Other Direct Costs</t>
  </si>
  <si>
    <t>Materials and Supplies</t>
  </si>
  <si>
    <t>Consultant Services</t>
  </si>
  <si>
    <t>ADP/Computer Services</t>
  </si>
  <si>
    <t>Subawards/Consortium/Contractual Costs</t>
  </si>
  <si>
    <t>Equipment or Facility Rental/User Fees</t>
  </si>
  <si>
    <t>Alterations and Renovations</t>
  </si>
  <si>
    <t>G. Direct Costs</t>
  </si>
  <si>
    <t>Total Direct Costs (A thru F)</t>
  </si>
  <si>
    <t>H. Indirect Costs</t>
  </si>
  <si>
    <t>Indirect Cost Base ($)</t>
  </si>
  <si>
    <t>Indirect Cost Type</t>
  </si>
  <si>
    <t>Indirect Cost Rate (%)</t>
  </si>
  <si>
    <t>Total Indirect Costs</t>
  </si>
  <si>
    <t>I. Total Direct and Indirect Costs</t>
  </si>
  <si>
    <t>Cognizant Federal Agency</t>
  </si>
  <si>
    <t>Agency Name, POC Name, and POC Phone Number)</t>
  </si>
  <si>
    <t>Department of Health and Humans Services,  Helen Fung,      (415)-437-7820</t>
  </si>
  <si>
    <t>Total Direct and Indirect Institutional Costs (G + H)</t>
  </si>
  <si>
    <t>J. Fee</t>
  </si>
  <si>
    <t>K. * Budget Justification</t>
  </si>
  <si>
    <t>RESEARCH &amp; RELATED BUDGET - Cumulative Budget</t>
  </si>
  <si>
    <t>Totals ($)</t>
  </si>
  <si>
    <t>Section A, Senior/Key Person</t>
  </si>
  <si>
    <t>Section B, Other Personnel</t>
  </si>
  <si>
    <t>Section C, Equipment</t>
  </si>
  <si>
    <t>Section D, Travel</t>
  </si>
  <si>
    <t>Domestic</t>
  </si>
  <si>
    <t>Section E, Participant/Trainee Support Costs</t>
  </si>
  <si>
    <t>Section F, Other Direct Costs</t>
  </si>
  <si>
    <t>Other 1</t>
  </si>
  <si>
    <t>Other 2</t>
  </si>
  <si>
    <t>Other 3</t>
  </si>
  <si>
    <t>Section G, Direct Costs (A thru F)</t>
  </si>
  <si>
    <t>Section H, Indirect Costs</t>
  </si>
  <si>
    <t>Section I, Total Direct and Indirect Costs (G + H)</t>
  </si>
  <si>
    <t>Section J, Fee</t>
  </si>
  <si>
    <t>did not link equipment</t>
  </si>
  <si>
    <t xml:space="preserve">Post Doc </t>
  </si>
  <si>
    <t>FY 16</t>
  </si>
  <si>
    <t>FY 17</t>
  </si>
  <si>
    <t>FY 30</t>
  </si>
  <si>
    <t>%    Effort YR1</t>
  </si>
  <si>
    <t>TFFA</t>
  </si>
  <si>
    <t>MTDC Total</t>
  </si>
  <si>
    <t>Academic Months</t>
  </si>
  <si>
    <t>Summer Months</t>
  </si>
  <si>
    <t>version</t>
  </si>
  <si>
    <t>appointment</t>
  </si>
  <si>
    <t>40 hr/wk by</t>
  </si>
  <si>
    <t>Principal Investigator:</t>
  </si>
  <si>
    <t>Senior Personnel: PI/PD, Co PI's, Faculty &amp; other Senior Assoc.</t>
  </si>
  <si>
    <t>Tuition / Tuition Remission</t>
  </si>
  <si>
    <t>* If using TDC on award, calculate the amount by TDC and MTDC and the difference is the unrecovered IDC.</t>
  </si>
  <si>
    <t>BUDGET INFORMATION</t>
  </si>
  <si>
    <t xml:space="preserve">1.   Always star with a new budget form - this can be found at </t>
  </si>
  <si>
    <t>https://insidestate.sdstate.edu/administration/grants-contracts/budgets/default.aspx</t>
  </si>
  <si>
    <t>2.   Information useful in completing your budget can be found on the same page.</t>
  </si>
  <si>
    <t>4.  Read the budget section of your RFP very carefully.</t>
  </si>
  <si>
    <t>7. On travel make sure that you split out domestic and foreign travel. For foreign travel remember to add the international insurance of $36.90/month.  i.e. if you are going to out of the country two different months, then you would put $36.90 X 2.</t>
  </si>
  <si>
    <t>8.  If using participant support costs, check RFP to see if this category needs to be excluded from A&amp;A calculations.</t>
  </si>
  <si>
    <t>Guide to allowable cost.</t>
  </si>
  <si>
    <t>10. If you are budgeting for a computer, you must include a statement of assurance that this will be used for research.</t>
  </si>
  <si>
    <t>3.  There is a budget justification template on the same page, preferred method is justification per year.</t>
  </si>
  <si>
    <t>5.  When choosing the fiscal year, if the fiscal year is half over with please use the next fiscal year,  when using the next fiscal year</t>
  </si>
  <si>
    <t>don’t forget to escalate your salaries ( please show the calculation in the salary cell, by putting a + sign in front).</t>
  </si>
  <si>
    <t>6.   Grad students  (PHD?MS) can work maximum of 49% time with 2% fringe.</t>
  </si>
  <si>
    <t>9. Please do not include general office supplies in materials &amp; Supplies section, For more information please see</t>
  </si>
  <si>
    <t>11. Subawards - things needed from each subaward are budgets, letters of commitment and budget justification by year.</t>
  </si>
  <si>
    <t>12.  For F&amp;A, please check your RFP for restrictions; SDSU's negotiated rate is 45% of MTDC.  Our standard state rate is 27%.</t>
  </si>
  <si>
    <t>These two rates are the only ones that would go on the MTDC line.  Everything else needs to be either TDC or TFFA.</t>
  </si>
  <si>
    <t>13. Cost share - only when the sponsor requires this.  Read the RFP carefully.  Please be aware ther is a difference between cost share and cost matching.</t>
  </si>
  <si>
    <t>It has been the policy of SDSU not to propose voluntary cost share.  If you want to add voluntary cost share then this woud need  ORSP approval.</t>
  </si>
  <si>
    <t>14. Make sure that you budget and budget justification agree.</t>
  </si>
  <si>
    <t>15.  Things to upload to the routing form.  Budget, Budget justification and the RFP.</t>
  </si>
  <si>
    <t>Definitions:</t>
  </si>
  <si>
    <r>
      <t>Cost Sharing</t>
    </r>
    <r>
      <rPr>
        <sz val="10"/>
        <color theme="1"/>
        <rFont val="Arial"/>
        <family val="2"/>
      </rPr>
      <t xml:space="preserve">: </t>
    </r>
    <r>
      <rPr>
        <sz val="10"/>
        <color rgb="FF000000"/>
        <rFont val="Arial"/>
        <family val="2"/>
      </rPr>
      <t>A requirement by the funding agency that the award recipient must contribute a portion (%) of the projects</t>
    </r>
    <r>
      <rPr>
        <sz val="10"/>
        <color rgb="FF548DD4"/>
        <rFont val="Arial"/>
        <family val="2"/>
      </rPr>
      <t xml:space="preserve"> </t>
    </r>
    <r>
      <rPr>
        <sz val="10"/>
        <color rgb="FF000000"/>
        <rFont val="Arial"/>
        <family val="2"/>
      </rPr>
      <t xml:space="preserve">Direct Costs </t>
    </r>
    <r>
      <rPr>
        <i/>
        <sz val="10"/>
        <color rgb="FF000000"/>
        <rFont val="Arial"/>
        <family val="2"/>
      </rPr>
      <t>and</t>
    </r>
    <r>
      <rPr>
        <sz val="10"/>
        <color rgb="FF000000"/>
        <rFont val="Arial"/>
        <family val="2"/>
      </rPr>
      <t xml:space="preserve"> Indirect Costs</t>
    </r>
  </si>
  <si>
    <r>
      <t>TIP</t>
    </r>
    <r>
      <rPr>
        <sz val="10"/>
        <color rgb="FF548DD4"/>
        <rFont val="Arial"/>
        <family val="2"/>
      </rPr>
      <t>: Refer to the RFP for the exact stipulations; this term varies by funding agency.</t>
    </r>
  </si>
  <si>
    <r>
      <t>Direct Costs</t>
    </r>
    <r>
      <rPr>
        <b/>
        <sz val="10"/>
        <color rgb="FF000000"/>
        <rFont val="Arial"/>
        <family val="2"/>
      </rPr>
      <t xml:space="preserve">: </t>
    </r>
    <r>
      <rPr>
        <sz val="10"/>
        <color rgb="FF000000"/>
        <rFont val="Arial"/>
        <family val="2"/>
      </rPr>
      <t>Expenses (labor/salaries, materials, equipment, etc.) related to the completion of work (research, education, extension services, etc.)</t>
    </r>
  </si>
  <si>
    <r>
      <t>External Funding</t>
    </r>
    <r>
      <rPr>
        <sz val="10"/>
        <color theme="1"/>
        <rFont val="Arial"/>
        <family val="2"/>
      </rPr>
      <t xml:space="preserve">: Money from a source outside of SDSU (grant </t>
    </r>
    <r>
      <rPr>
        <i/>
        <sz val="10"/>
        <color theme="1"/>
        <rFont val="Arial"/>
        <family val="2"/>
      </rPr>
      <t>or</t>
    </r>
    <r>
      <rPr>
        <sz val="10"/>
        <color theme="1"/>
        <rFont val="Arial"/>
        <family val="2"/>
      </rPr>
      <t xml:space="preserve"> contract money from a federal funding agency, foundation, industry, private sector, etc.)</t>
    </r>
  </si>
  <si>
    <r>
      <t>Fiscal Year for SDSU</t>
    </r>
    <r>
      <rPr>
        <b/>
        <sz val="10"/>
        <color rgb="FF000000"/>
        <rFont val="Arial"/>
        <family val="2"/>
      </rPr>
      <t xml:space="preserve">: </t>
    </r>
    <r>
      <rPr>
        <sz val="10"/>
        <color rgb="FF000000"/>
        <rFont val="Arial"/>
        <family val="2"/>
      </rPr>
      <t>July 1 – June 30</t>
    </r>
  </si>
  <si>
    <r>
      <t>Fringe Benefits</t>
    </r>
    <r>
      <rPr>
        <b/>
        <sz val="10"/>
        <color theme="1"/>
        <rFont val="Arial"/>
        <family val="2"/>
      </rPr>
      <t>:</t>
    </r>
    <r>
      <rPr>
        <sz val="10"/>
        <color theme="1"/>
        <rFont val="Arial"/>
        <family val="2"/>
      </rPr>
      <t xml:space="preserve"> Non-wage compensations provided to employees in addition to their normal wages or salaries (paid vacation, paid sick leave, etc.)</t>
    </r>
  </si>
  <si>
    <r>
      <t>TIP</t>
    </r>
    <r>
      <rPr>
        <sz val="10"/>
        <color rgb="FF548DD4"/>
        <rFont val="Arial"/>
        <family val="2"/>
      </rPr>
      <t xml:space="preserve">: Provide a detailed breakdown of SDSU Fringe Benefit rates on every Budget Justification. </t>
    </r>
  </si>
  <si>
    <r>
      <t>Matching</t>
    </r>
    <r>
      <rPr>
        <sz val="10"/>
        <color theme="1"/>
        <rFont val="Arial"/>
        <family val="2"/>
      </rPr>
      <t xml:space="preserve">: </t>
    </r>
    <r>
      <rPr>
        <sz val="10"/>
        <color rgb="FF000000"/>
        <rFont val="Arial"/>
        <family val="2"/>
      </rPr>
      <t>A requirement by the funding agency that the award recipient must contribute a portion (%) of the projects Direct Costs</t>
    </r>
  </si>
  <si>
    <r>
      <t>Modified Total Direct Costs</t>
    </r>
    <r>
      <rPr>
        <sz val="10"/>
        <color rgb="FF000000"/>
        <rFont val="Arial"/>
        <family val="2"/>
      </rPr>
      <t>: Total Direct Costs minus large equipment (any piece exceeding $5k), tuition remission, rental costs, scholarships &amp; fellowships, and the portion of each sub-award or sub-contract exceeding $25k</t>
    </r>
  </si>
  <si>
    <r>
      <t>Person Months:</t>
    </r>
    <r>
      <rPr>
        <b/>
        <sz val="10"/>
        <color rgb="FF000000"/>
        <rFont val="Arial"/>
        <family val="2"/>
      </rPr>
      <t xml:space="preserve">  </t>
    </r>
    <r>
      <rPr>
        <sz val="10"/>
        <color rgb="FF000000"/>
        <rFont val="Arial"/>
        <family val="2"/>
      </rPr>
      <t>the total number of months each person is committing to a project</t>
    </r>
  </si>
  <si>
    <r>
      <t xml:space="preserve">Employees with a 12-month contract calculate </t>
    </r>
    <r>
      <rPr>
        <i/>
        <sz val="10"/>
        <color rgb="FF000000"/>
        <rFont val="Arial"/>
        <family val="2"/>
      </rPr>
      <t>Calendar</t>
    </r>
    <r>
      <rPr>
        <sz val="10"/>
        <color rgb="FF000000"/>
        <rFont val="Arial"/>
        <family val="2"/>
      </rPr>
      <t xml:space="preserve"> person months</t>
    </r>
  </si>
  <si>
    <r>
      <t xml:space="preserve">Employees with a 9-month or 10-month contract calculate </t>
    </r>
    <r>
      <rPr>
        <i/>
        <sz val="10"/>
        <color rgb="FF000000"/>
        <rFont val="Arial"/>
        <family val="2"/>
      </rPr>
      <t>Academic</t>
    </r>
    <r>
      <rPr>
        <sz val="10"/>
        <color rgb="FF000000"/>
        <rFont val="Arial"/>
        <family val="2"/>
      </rPr>
      <t xml:space="preserve"> months and </t>
    </r>
    <r>
      <rPr>
        <i/>
        <sz val="10"/>
        <color rgb="FF000000"/>
        <rFont val="Arial"/>
        <family val="2"/>
      </rPr>
      <t>Summer</t>
    </r>
    <r>
      <rPr>
        <sz val="10"/>
        <color rgb="FF000000"/>
        <rFont val="Arial"/>
        <family val="2"/>
      </rPr>
      <t xml:space="preserve"> months</t>
    </r>
  </si>
  <si>
    <r>
      <t>Request for Proposal (RFP</t>
    </r>
    <r>
      <rPr>
        <b/>
        <sz val="10"/>
        <color rgb="FF000000"/>
        <rFont val="Arial"/>
        <family val="2"/>
      </rPr>
      <t>)</t>
    </r>
    <r>
      <rPr>
        <sz val="10"/>
        <color rgb="FF000000"/>
        <rFont val="Arial"/>
        <family val="2"/>
      </rPr>
      <t xml:space="preserve"> {</t>
    </r>
    <r>
      <rPr>
        <b/>
        <sz val="10"/>
        <color rgb="FF000000"/>
        <rFont val="Arial"/>
        <family val="2"/>
      </rPr>
      <t>a.k.a., RFA, FOA, NOFA, or solicitation</t>
    </r>
    <r>
      <rPr>
        <sz val="10"/>
        <color rgb="FF000000"/>
        <rFont val="Arial"/>
        <family val="2"/>
      </rPr>
      <t>}:</t>
    </r>
  </si>
  <si>
    <t>The requirements you must abide by when developing a proposal and budget for an external funding opportunity</t>
  </si>
  <si>
    <r>
      <t>TIP</t>
    </r>
    <r>
      <rPr>
        <sz val="10"/>
        <color rgb="FF548DD4"/>
        <rFont val="Arial"/>
        <family val="2"/>
      </rPr>
      <t xml:space="preserve">: Send your RFP to your College Grant Coordinators as soon as you acquire it. </t>
    </r>
  </si>
  <si>
    <r>
      <t>SDSU Budget Template</t>
    </r>
    <r>
      <rPr>
        <sz val="10"/>
        <color theme="1"/>
        <rFont val="Arial"/>
        <family val="2"/>
      </rPr>
      <t xml:space="preserve">:  </t>
    </r>
    <r>
      <rPr>
        <sz val="10"/>
        <color rgb="FF000000"/>
        <rFont val="Arial"/>
        <family val="2"/>
      </rPr>
      <t xml:space="preserve">The budget form required by Grants &amp; Contracts when applying for external funding. </t>
    </r>
  </si>
  <si>
    <r>
      <t>TIP</t>
    </r>
    <r>
      <rPr>
        <sz val="10"/>
        <color rgb="FF548DD4"/>
        <rFont val="Arial"/>
        <family val="2"/>
      </rPr>
      <t xml:space="preserve">: Always access a new budget template from InsideState. </t>
    </r>
  </si>
  <si>
    <r>
      <t>WARNING!</t>
    </r>
    <r>
      <rPr>
        <sz val="10"/>
        <color rgb="FFFF0000"/>
        <rFont val="Arial"/>
        <family val="2"/>
      </rPr>
      <t xml:space="preserve">  </t>
    </r>
    <r>
      <rPr>
        <u/>
        <sz val="10"/>
        <color rgb="FFFF0000"/>
        <rFont val="Arial"/>
        <family val="2"/>
      </rPr>
      <t>Do not re-use a budget template from a prior grant</t>
    </r>
    <r>
      <rPr>
        <b/>
        <sz val="10"/>
        <color rgb="FFFF0000"/>
        <rFont val="Arial"/>
        <family val="2"/>
      </rPr>
      <t xml:space="preserve">!   </t>
    </r>
    <r>
      <rPr>
        <sz val="10"/>
        <color rgb="FFFF0000"/>
        <rFont val="Arial"/>
        <family val="2"/>
      </rPr>
      <t>Salaries, fringe benefit rates, tuition/remission rates, and indirect rates regularly change</t>
    </r>
    <r>
      <rPr>
        <b/>
        <sz val="10"/>
        <color rgb="FFFF0000"/>
        <rFont val="Arial"/>
        <family val="2"/>
      </rPr>
      <t>;</t>
    </r>
    <r>
      <rPr>
        <sz val="10"/>
        <color rgb="FFFF0000"/>
        <rFont val="Arial"/>
        <family val="2"/>
      </rPr>
      <t xml:space="preserve"> the template formulas often get overwritten. </t>
    </r>
  </si>
  <si>
    <r>
      <t>Sub Award</t>
    </r>
    <r>
      <rPr>
        <sz val="10"/>
        <color theme="1"/>
        <rFont val="Arial"/>
        <family val="2"/>
      </rPr>
      <t>: a monetary award from a funding agency that is paid through the Primary grant recipient to a Sub-recipient or sub-contractor for their work on the project</t>
    </r>
  </si>
  <si>
    <r>
      <t>Tuition/Remission</t>
    </r>
    <r>
      <rPr>
        <sz val="10"/>
        <color theme="1"/>
        <rFont val="Arial"/>
        <family val="2"/>
      </rPr>
      <t xml:space="preserve">: </t>
    </r>
    <r>
      <rPr>
        <sz val="10"/>
        <color rgb="FF000000"/>
        <rFont val="Arial"/>
        <family val="2"/>
      </rPr>
      <t xml:space="preserve">A tuition reduction for a graduate student; this is charged directly to the grant when the graduate student works on the grant project </t>
    </r>
  </si>
  <si>
    <r>
      <t>Facilities &amp; Administration Costs (F&amp;A)</t>
    </r>
    <r>
      <rPr>
        <b/>
        <sz val="10"/>
        <color rgb="FF000000"/>
        <rFont val="Arial"/>
        <family val="2"/>
      </rPr>
      <t xml:space="preserve"> {a.k.a., indirect </t>
    </r>
    <r>
      <rPr>
        <sz val="10"/>
        <color rgb="FF000000"/>
        <rFont val="Arial"/>
        <family val="2"/>
      </rPr>
      <t>or</t>
    </r>
    <r>
      <rPr>
        <b/>
        <sz val="10"/>
        <color rgb="FF000000"/>
        <rFont val="Arial"/>
        <family val="2"/>
      </rPr>
      <t xml:space="preserve"> overhead}</t>
    </r>
    <r>
      <rPr>
        <sz val="10"/>
        <color rgb="FF000000"/>
        <rFont val="Arial"/>
        <family val="2"/>
      </rPr>
      <t>: Costs incurred by the university while providing buildings (</t>
    </r>
    <r>
      <rPr>
        <i/>
        <sz val="10"/>
        <color rgb="FF000000"/>
        <rFont val="Arial"/>
        <family val="2"/>
      </rPr>
      <t>i.e</t>
    </r>
    <r>
      <rPr>
        <sz val="10"/>
        <color rgb="FF000000"/>
        <rFont val="Arial"/>
        <family val="2"/>
      </rPr>
      <t xml:space="preserve">., offices, labs, maintenance, utilities, office equipment and office supplies) </t>
    </r>
  </si>
  <si>
    <t>and administrative services (university administration/compliance/tech transfer, human resources, payroll/purchasing/accounting, grant admin., etc.)</t>
  </si>
  <si>
    <t>Grad &amp; undergrad fringe now 1%</t>
  </si>
  <si>
    <t>Are direct costs for items such as stipends or subsistence allowances, travel allowances, and registration fees paid to or on behalf of participants (but not SDSU employees) in connection with conferences or training projects. </t>
  </si>
  <si>
    <t>Standard SDSU rate 46%</t>
  </si>
  <si>
    <t>South Dakota State University - Match</t>
  </si>
  <si>
    <t>Version</t>
  </si>
  <si>
    <t>Mth</t>
  </si>
  <si>
    <t>Percent</t>
  </si>
  <si>
    <t>Current Rate</t>
  </si>
  <si>
    <t>Fine Arts</t>
  </si>
  <si>
    <t>Health and Wellness, Ag &amp; Biological *</t>
  </si>
  <si>
    <t>Nutrition, Interior &amp;  Landscape Design</t>
  </si>
  <si>
    <t>Biology, Chemistry, Mathematics</t>
  </si>
  <si>
    <t>Range Science</t>
  </si>
  <si>
    <t>Computer Science</t>
  </si>
  <si>
    <t>Business/Economics</t>
  </si>
  <si>
    <t>Animal Science &amp; Veterinary Science</t>
  </si>
  <si>
    <t>Dairy/Food Science</t>
  </si>
  <si>
    <t>Physics &amp; Engineering</t>
  </si>
  <si>
    <t xml:space="preserve">Allied Health </t>
  </si>
  <si>
    <t>Architecture</t>
  </si>
  <si>
    <t>Medical Laboratory Science (Off Campus)</t>
  </si>
  <si>
    <t>Medical Laboratory</t>
  </si>
  <si>
    <t>Pharmacy</t>
  </si>
  <si>
    <t>Stipend Reduction -</t>
  </si>
  <si>
    <t>PHD Level</t>
  </si>
  <si>
    <t>MS Level</t>
  </si>
  <si>
    <t>Animal Science</t>
  </si>
  <si>
    <t>Dairy Science</t>
  </si>
  <si>
    <t>English</t>
  </si>
  <si>
    <t>Athletics (based on $11/hour)</t>
  </si>
  <si>
    <t>(New rate to meet minimum wage $8.55)</t>
  </si>
  <si>
    <t>Other Dept. no fees</t>
  </si>
  <si>
    <t>Agriculture &amp; Bio Sciences</t>
  </si>
  <si>
    <t>Agricultural &amp; Biosystems Engineering</t>
  </si>
  <si>
    <t>Biology &amp; Microbiology</t>
  </si>
  <si>
    <t>Economics</t>
  </si>
  <si>
    <t>Extension</t>
  </si>
  <si>
    <t>Natural Resource Management</t>
  </si>
  <si>
    <t>Plant Science</t>
  </si>
  <si>
    <t>South Dakota Ag Heritage Museum</t>
  </si>
  <si>
    <t>Veterinary &amp; Biomedical Sciences</t>
  </si>
  <si>
    <t>Water Resources Institute</t>
  </si>
  <si>
    <t>Engineering</t>
  </si>
  <si>
    <t>Civil &amp; Environmental Engineering</t>
  </si>
  <si>
    <t>Construction &amp; Operations Mgmnt</t>
  </si>
  <si>
    <t>Electrical Eng , Computer Sci. &amp; Software Engineering</t>
  </si>
  <si>
    <t>Engineering Extension</t>
  </si>
  <si>
    <t>Engineering Research</t>
  </si>
  <si>
    <t>Mathematics &amp; Statistics</t>
  </si>
  <si>
    <t>Mechanical Engineering</t>
  </si>
  <si>
    <t>WEERC</t>
  </si>
  <si>
    <t>Arts &amp; Sciences</t>
  </si>
  <si>
    <t>Chemistry &amp; Biochemistry</t>
  </si>
  <si>
    <t>Communication Studies &amp; Theatre</t>
  </si>
  <si>
    <t>Geography</t>
  </si>
  <si>
    <t>Journalism &amp; Mass Communications</t>
  </si>
  <si>
    <t>Interior Design</t>
  </si>
  <si>
    <t>Music</t>
  </si>
  <si>
    <t>Physics</t>
  </si>
  <si>
    <t>School of Design</t>
  </si>
  <si>
    <t>Sociology &amp; Rural Studies</t>
  </si>
  <si>
    <t>Education &amp; Human Sciences</t>
  </si>
  <si>
    <t>Consumer Sciences</t>
  </si>
  <si>
    <t>Counseling &amp; Human Development</t>
  </si>
  <si>
    <t>Health &amp; Nutritional Sciences</t>
  </si>
  <si>
    <t>Teaching, Learning &amp; Leadership</t>
  </si>
  <si>
    <t>Education &amp; Human Sciences Total</t>
  </si>
  <si>
    <t>Nursing</t>
  </si>
  <si>
    <t xml:space="preserve">  Pharmaceutical Sciences</t>
  </si>
  <si>
    <t xml:space="preserve">  Pharmacy Clinical</t>
  </si>
  <si>
    <t>Academic Affairs</t>
  </si>
  <si>
    <t>South Dakota Art Museum</t>
  </si>
  <si>
    <t>Student Affairs</t>
  </si>
  <si>
    <t>Counseling Center</t>
  </si>
  <si>
    <t>Multicultural Affairs</t>
  </si>
  <si>
    <t>Student Health Services</t>
  </si>
  <si>
    <t>TRIO</t>
  </si>
  <si>
    <t>Wellness Center</t>
  </si>
  <si>
    <t>Division of Research &amp; Economic Development</t>
  </si>
  <si>
    <t>EA Martin Program</t>
  </si>
  <si>
    <t>EPSCoR</t>
  </si>
  <si>
    <t>GSCE Center of Excellence</t>
  </si>
  <si>
    <t>Sun Grant Center</t>
  </si>
  <si>
    <t>Diversity Enhancement</t>
  </si>
  <si>
    <t>American Indian Center</t>
  </si>
  <si>
    <t>VP Technology and Security</t>
  </si>
  <si>
    <t>Honors College</t>
  </si>
  <si>
    <t>Tuition Remission Rates FY 17</t>
  </si>
  <si>
    <t>Department</t>
  </si>
  <si>
    <t>FY 17 TR</t>
  </si>
  <si>
    <t>Stipend Adj.</t>
  </si>
  <si>
    <t>Natural Resource Management / Range Science</t>
  </si>
  <si>
    <t>Stipend reductions with full tuition, USF and program fee waiver</t>
  </si>
  <si>
    <t>Input Variables</t>
  </si>
  <si>
    <t xml:space="preserve"> Annual Credits</t>
  </si>
  <si>
    <t>Graduate Assistant Tuition</t>
  </si>
  <si>
    <t>University Support Fee</t>
  </si>
  <si>
    <t>Program Fee</t>
  </si>
  <si>
    <t>See Below</t>
  </si>
  <si>
    <t>Program Fee Amount</t>
  </si>
  <si>
    <t>*also includes: Horticulture, Interdisciplinary, Natural Resource Management, Plant, Wildlife, and Fisheries &amp; Geography</t>
  </si>
  <si>
    <t>Other Dept.</t>
  </si>
  <si>
    <t>Prg Fee</t>
  </si>
  <si>
    <t>Base Tuition Remssion</t>
  </si>
  <si>
    <t>FY17 Tuition Remission</t>
  </si>
  <si>
    <t>Research Rate</t>
  </si>
  <si>
    <t>Other Sponsored Activity</t>
  </si>
  <si>
    <t>Industry Rate</t>
  </si>
  <si>
    <t>State Research Rate</t>
  </si>
  <si>
    <t>USDA</t>
  </si>
  <si>
    <t>US Dept. of Ed</t>
  </si>
  <si>
    <t>Multitude of Grants</t>
  </si>
  <si>
    <t>Rate</t>
  </si>
  <si>
    <t>F&amp;A Impact</t>
  </si>
  <si>
    <t>Escalation</t>
  </si>
  <si>
    <t>Use this sheet if you have more than 2 GRA with different disciplines.</t>
  </si>
  <si>
    <t>LEVEL</t>
  </si>
  <si>
    <t>Chemistry</t>
  </si>
  <si>
    <t>Mathematics</t>
  </si>
  <si>
    <t>Business/ Economics</t>
  </si>
  <si>
    <t>(after first year)</t>
  </si>
  <si>
    <t>(first year)</t>
  </si>
  <si>
    <t>*</t>
  </si>
  <si>
    <t>MA Level</t>
  </si>
  <si>
    <t>(New rate will be $10 / hour)</t>
  </si>
  <si>
    <t>* (New rate will be $10 / hour)</t>
  </si>
  <si>
    <t>PHD 9 mo</t>
  </si>
  <si>
    <t>PHD 12 mo</t>
  </si>
  <si>
    <t>MS 12 mo</t>
  </si>
  <si>
    <t>MS 9 mo</t>
  </si>
  <si>
    <t>Appt. Type</t>
  </si>
  <si>
    <t>Physics &amp; Engineering, AG Eng</t>
  </si>
  <si>
    <t>FY 18 Tuition Remission</t>
  </si>
  <si>
    <t>FY18</t>
  </si>
  <si>
    <t xml:space="preserve">FY 24 </t>
  </si>
  <si>
    <t xml:space="preserve">FY 25 </t>
  </si>
  <si>
    <t xml:space="preserve">South Dakota State University </t>
  </si>
  <si>
    <t>Yr. 1</t>
  </si>
  <si>
    <t>Yr.  2</t>
  </si>
  <si>
    <t>Yr. 3</t>
  </si>
  <si>
    <t xml:space="preserve">Total </t>
  </si>
  <si>
    <t>A. Salaries and Wages</t>
  </si>
  <si>
    <t xml:space="preserve">Total Salaries </t>
  </si>
  <si>
    <t>B. Fringe Benefits</t>
  </si>
  <si>
    <t>C. Permanent Equipment</t>
  </si>
  <si>
    <t>E. Project Travel</t>
  </si>
  <si>
    <t>F. Materials and Supplies</t>
  </si>
  <si>
    <t>G. Publication Costs</t>
  </si>
  <si>
    <t xml:space="preserve">H. Contractual </t>
  </si>
  <si>
    <t xml:space="preserve">Total direct costs </t>
  </si>
  <si>
    <t xml:space="preserve">Indirect </t>
  </si>
  <si>
    <t xml:space="preserve">TOTAL </t>
  </si>
  <si>
    <t>Yr. 4</t>
  </si>
  <si>
    <t>Yr. 5</t>
  </si>
  <si>
    <t>Other Personell</t>
  </si>
  <si>
    <t>I. Tuition Remission</t>
  </si>
  <si>
    <t xml:space="preserve">D. Participant Support </t>
  </si>
  <si>
    <t>PI</t>
  </si>
  <si>
    <t>Stipend Reduction</t>
  </si>
  <si>
    <t>Ag, Geography, Health and Wellness *</t>
  </si>
  <si>
    <t>Budget Narrative</t>
  </si>
  <si>
    <t>Indicate % time, FTE, and what each person is responsible for under A. 1-10 for Sr. Personnel</t>
  </si>
  <si>
    <t>Indicate % time, FTE, and what each person is responsible for under other Personnel lines 1-5</t>
  </si>
  <si>
    <t xml:space="preserve">15% fringe plus health insurance prorated to percent time for full time employees and 1% for Graduate and Undergraduates </t>
  </si>
  <si>
    <t>list equiqment item and cost this if for equipment that costs $5000 or more (equipment less than $5000 is listed under supplies) or other</t>
  </si>
  <si>
    <t>THIS IS only allowable if project includes a education component and costs are a separate budget and justified and the agency approves the cost (This is for non employees only) that have an educational component</t>
  </si>
  <si>
    <t>list supplies</t>
  </si>
  <si>
    <t xml:space="preserve">list publications </t>
  </si>
  <si>
    <t xml:space="preserve">list consultant </t>
  </si>
  <si>
    <t xml:space="preserve">list computer services </t>
  </si>
  <si>
    <t>list sub award total per year including their indirect (Sub will need to fill out their own budget, justification)</t>
  </si>
  <si>
    <t xml:space="preserve">list user fees detail </t>
  </si>
  <si>
    <t xml:space="preserve">not used </t>
  </si>
  <si>
    <t>use for tuition/remission</t>
  </si>
  <si>
    <t xml:space="preserve">use for budget category that is not listed </t>
  </si>
  <si>
    <t xml:space="preserve">indicated the indirect rate used and dollar amount it was calculated on </t>
  </si>
  <si>
    <t>Counseling</t>
  </si>
  <si>
    <t>Description Below</t>
  </si>
  <si>
    <t>Meeting</t>
  </si>
  <si>
    <t># of Trips</t>
  </si>
  <si>
    <t># Days</t>
  </si>
  <si>
    <t>Per Diem</t>
  </si>
  <si>
    <t>Lodging</t>
  </si>
  <si>
    <t>Mileage</t>
  </si>
  <si>
    <t>Airefare</t>
  </si>
  <si>
    <t>Travel:</t>
  </si>
  <si>
    <t xml:space="preserve">Auto - low rate (State Vehicle available) </t>
  </si>
  <si>
    <t xml:space="preserve">Auto - high rate (State Vehicle not available) </t>
  </si>
  <si>
    <t>Meal Allowances</t>
  </si>
  <si>
    <t xml:space="preserve">Meal In-State </t>
  </si>
  <si>
    <t xml:space="preserve">Out-of-State </t>
  </si>
  <si>
    <t>Out-of-Country</t>
  </si>
  <si>
    <t>Breakfast</t>
  </si>
  <si>
    <t>Lunch</t>
  </si>
  <si>
    <t>Dinner</t>
  </si>
  <si>
    <t>Total Daily Rate</t>
  </si>
  <si>
    <t>Meal Allowance Elgibility</t>
  </si>
  <si>
    <t xml:space="preserve">Meal  </t>
  </si>
  <si>
    <t>Departure</t>
  </si>
  <si>
    <t>Return</t>
  </si>
  <si>
    <t>Leave before 5:31 am</t>
  </si>
  <si>
    <t>Leave before 11:31 am</t>
  </si>
  <si>
    <t>Leave before 5:31 pm</t>
  </si>
  <si>
    <t>Return After 7:59 AM</t>
  </si>
  <si>
    <t>Return After 12:59 PM</t>
  </si>
  <si>
    <t>Return After 7:59 PM</t>
  </si>
  <si>
    <t>I. Other</t>
  </si>
  <si>
    <t>Yr. 2</t>
  </si>
  <si>
    <t>Narrative of Budget Items</t>
  </si>
  <si>
    <t>Description tips</t>
  </si>
  <si>
    <t>A</t>
  </si>
  <si>
    <t>B</t>
  </si>
  <si>
    <t>SR Personnel Salaries and Wages</t>
  </si>
  <si>
    <t>Post Doc</t>
  </si>
  <si>
    <t xml:space="preserve">Other  </t>
  </si>
  <si>
    <t>Fringe Benefits</t>
  </si>
  <si>
    <t>Total Salary &amp; Fringe</t>
  </si>
  <si>
    <t>C</t>
  </si>
  <si>
    <t>Permenant Equipment</t>
  </si>
  <si>
    <t>D</t>
  </si>
  <si>
    <t>E</t>
  </si>
  <si>
    <t>Participant Support</t>
  </si>
  <si>
    <t>Tuition/fees/Health Care</t>
  </si>
  <si>
    <t>Number of Participants and Total</t>
  </si>
  <si>
    <t>F</t>
  </si>
  <si>
    <t>Subawards/Consortium/Contractual</t>
  </si>
  <si>
    <t>Alterations and Revovations</t>
  </si>
  <si>
    <t>Tuition/ Tuition Remission</t>
  </si>
  <si>
    <t>Equipment or Facility Rental</t>
  </si>
  <si>
    <t>G</t>
  </si>
  <si>
    <t>H</t>
  </si>
  <si>
    <t>F&amp;A</t>
  </si>
  <si>
    <t>Direct Costs</t>
  </si>
  <si>
    <t>South Dakota State University Match</t>
  </si>
  <si>
    <t>start 7.1.18</t>
  </si>
  <si>
    <t xml:space="preserve">no indirect allowed on federal side </t>
  </si>
  <si>
    <t xml:space="preserve">2018 WATER RESOURCE 104G PRE PROPOSAL </t>
  </si>
  <si>
    <t xml:space="preserve">2018 WATER RESOURCE 104G PRE PROPOSAL MATCH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</si>
</sst>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m/d/yy;@"/>
    <numFmt numFmtId="166" formatCode="0.0%"/>
    <numFmt numFmtId="167" formatCode="0.000%"/>
    <numFmt numFmtId="168" formatCode="_(* #,##0_);_(* \(#,##0\);_(* &quot;-&quot;??_);_(@_)"/>
    <numFmt numFmtId="169" formatCode="mm/dd/yy;@"/>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b/>
      <sz val="14"/>
      <color theme="1"/>
      <name val="Calibri"/>
      <family val="2"/>
      <scheme val="minor"/>
    </font>
    <font>
      <b/>
      <u/>
      <sz val="11"/>
      <color theme="1"/>
      <name val="Calibri"/>
      <family val="2"/>
      <scheme val="minor"/>
    </font>
    <font>
      <b/>
      <u/>
      <sz val="10"/>
      <color theme="1"/>
      <name val="Arial"/>
      <family val="2"/>
    </font>
    <font>
      <sz val="10"/>
      <color theme="1"/>
      <name val="Arial"/>
      <family val="2"/>
    </font>
    <font>
      <b/>
      <sz val="10"/>
      <color theme="1"/>
      <name val="Arial"/>
      <family val="2"/>
    </font>
    <font>
      <u/>
      <sz val="11"/>
      <color theme="1"/>
      <name val="Calibri"/>
      <family val="2"/>
      <scheme val="minor"/>
    </font>
    <font>
      <i/>
      <sz val="10"/>
      <color theme="1"/>
      <name val="Arial"/>
      <family val="2"/>
    </font>
    <font>
      <i/>
      <sz val="11"/>
      <color theme="1"/>
      <name val="Calibri"/>
      <family val="2"/>
      <scheme val="minor"/>
    </font>
    <font>
      <sz val="10"/>
      <name val="Arial"/>
      <family val="2"/>
    </font>
    <font>
      <sz val="8"/>
      <name val="Arial"/>
      <family val="2"/>
    </font>
    <font>
      <b/>
      <sz val="8"/>
      <name val="Arial"/>
      <family val="2"/>
    </font>
    <font>
      <sz val="7"/>
      <color theme="1"/>
      <name val="Calibri"/>
      <family val="2"/>
      <scheme val="minor"/>
    </font>
    <font>
      <b/>
      <sz val="7"/>
      <color theme="1"/>
      <name val="Calibri"/>
      <family val="2"/>
      <scheme val="minor"/>
    </font>
    <font>
      <b/>
      <sz val="8"/>
      <color theme="1"/>
      <name val="Calibri"/>
      <family val="2"/>
      <scheme val="minor"/>
    </font>
    <font>
      <u/>
      <sz val="11"/>
      <color theme="10"/>
      <name val="Calibri"/>
      <family val="2"/>
      <scheme val="minor"/>
    </font>
    <font>
      <sz val="10"/>
      <color rgb="FF000000"/>
      <name val="Arial"/>
      <family val="2"/>
    </font>
    <font>
      <sz val="10"/>
      <color rgb="FF548DD4"/>
      <name val="Arial"/>
      <family val="2"/>
    </font>
    <font>
      <i/>
      <sz val="10"/>
      <color rgb="FF000000"/>
      <name val="Arial"/>
      <family val="2"/>
    </font>
    <font>
      <b/>
      <sz val="10"/>
      <color rgb="FF548DD4"/>
      <name val="Arial"/>
      <family val="2"/>
    </font>
    <font>
      <b/>
      <u/>
      <sz val="10"/>
      <color rgb="FF000000"/>
      <name val="Arial"/>
      <family val="2"/>
    </font>
    <font>
      <b/>
      <sz val="10"/>
      <color rgb="FF000000"/>
      <name val="Arial"/>
      <family val="2"/>
    </font>
    <font>
      <b/>
      <sz val="10"/>
      <color rgb="FFFF0000"/>
      <name val="Arial"/>
      <family val="2"/>
    </font>
    <font>
      <sz val="10"/>
      <color rgb="FFFF0000"/>
      <name val="Arial"/>
      <family val="2"/>
    </font>
    <font>
      <u/>
      <sz val="10"/>
      <color rgb="FFFF0000"/>
      <name val="Arial"/>
      <family val="2"/>
    </font>
    <font>
      <b/>
      <sz val="11"/>
      <color rgb="FFFF0000"/>
      <name val="Calibri"/>
      <family val="2"/>
      <scheme val="minor"/>
    </font>
    <font>
      <b/>
      <sz val="10"/>
      <color theme="1"/>
      <name val="Calibri"/>
      <family val="2"/>
      <scheme val="minor"/>
    </font>
    <font>
      <b/>
      <sz val="9"/>
      <color theme="1"/>
      <name val="Calibri"/>
      <family val="2"/>
      <scheme val="minor"/>
    </font>
    <font>
      <i/>
      <sz val="10"/>
      <color theme="1"/>
      <name val="Calibri"/>
      <family val="2"/>
      <scheme val="minor"/>
    </font>
    <font>
      <sz val="10"/>
      <color theme="1"/>
      <name val="Calibri"/>
      <family val="2"/>
      <scheme val="minor"/>
    </font>
    <font>
      <b/>
      <i/>
      <u/>
      <sz val="10"/>
      <color theme="1"/>
      <name val="Calibri"/>
      <family val="2"/>
      <scheme val="minor"/>
    </font>
    <font>
      <b/>
      <sz val="9"/>
      <color indexed="81"/>
      <name val="Tahoma"/>
      <family val="2"/>
    </font>
    <font>
      <sz val="9"/>
      <color indexed="81"/>
      <name val="Tahoma"/>
      <family val="2"/>
    </font>
    <font>
      <sz val="14"/>
      <color theme="0"/>
      <name val="Calibri"/>
      <family val="2"/>
      <scheme val="minor"/>
    </font>
    <font>
      <b/>
      <sz val="12"/>
      <color theme="1"/>
      <name val="Calibri"/>
      <family val="2"/>
      <scheme val="minor"/>
    </font>
    <font>
      <sz val="12"/>
      <color theme="1"/>
      <name val="Calibri"/>
      <family val="2"/>
      <scheme val="minor"/>
    </font>
    <font>
      <sz val="11"/>
      <name val="Calibri"/>
      <family val="2"/>
      <scheme val="minor"/>
    </font>
    <font>
      <sz val="16"/>
      <color theme="1"/>
      <name val="Calibri"/>
      <family val="2"/>
      <scheme val="minor"/>
    </font>
    <font>
      <b/>
      <i/>
      <sz val="9"/>
      <color theme="1"/>
      <name val="Calibri"/>
      <family val="2"/>
      <scheme val="minor"/>
    </font>
    <font>
      <b/>
      <i/>
      <u/>
      <sz val="9"/>
      <color theme="1"/>
      <name val="Calibri"/>
      <family val="2"/>
      <scheme val="minor"/>
    </font>
    <font>
      <i/>
      <sz val="9"/>
      <color theme="1"/>
      <name val="Calibri"/>
      <family val="2"/>
      <scheme val="minor"/>
    </font>
    <font>
      <b/>
      <sz val="12"/>
      <color theme="1"/>
      <name val="Times New Roman"/>
      <family val="1"/>
    </font>
    <font>
      <sz val="12"/>
      <color theme="1"/>
      <name val="Arial"/>
      <family val="2"/>
    </font>
    <font>
      <sz val="12"/>
      <color theme="1"/>
      <name val="Times New Roman"/>
      <family val="1"/>
    </font>
    <font>
      <b/>
      <sz val="12"/>
      <color theme="1"/>
      <name val="Arial"/>
      <family val="2"/>
    </font>
    <font>
      <b/>
      <sz val="14"/>
      <color theme="1"/>
      <name val="Times New Roman"/>
      <family val="1"/>
    </font>
  </fonts>
  <fills count="17">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rgb="FFA5CDF9"/>
        <bgColor indexed="64"/>
      </patternFill>
    </fill>
    <fill>
      <patternFill patternType="solid">
        <fgColor rgb="FFFFFF00"/>
        <bgColor indexed="64"/>
      </patternFill>
    </fill>
    <fill>
      <patternFill patternType="solid">
        <fgColor indexed="2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
      <patternFill patternType="solid">
        <fgColor theme="9"/>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3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diagonal/>
    </border>
    <border>
      <left style="medium">
        <color auto="1"/>
      </left>
      <right style="medium">
        <color auto="1"/>
      </right>
      <top/>
      <bottom style="medium">
        <color auto="1"/>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3" fontId="14" fillId="0" borderId="0" applyFont="0" applyFill="0" applyBorder="0" applyAlignment="0" applyProtection="0"/>
    <xf numFmtId="0" fontId="20" fillId="0" borderId="0" applyNumberFormat="0" applyFill="0" applyBorder="0" applyAlignment="0" applyProtection="0"/>
  </cellStyleXfs>
  <cellXfs count="397">
    <xf numFmtId="0" fontId="0" fillId="0" borderId="0" xfId="0"/>
    <xf numFmtId="0" fontId="3" fillId="0" borderId="0" xfId="0" applyFont="1"/>
    <xf numFmtId="0" fontId="0" fillId="0" borderId="0" xfId="0" applyAlignment="1">
      <alignment horizontal="center"/>
    </xf>
    <xf numFmtId="0" fontId="0" fillId="0" borderId="0" xfId="0" applyAlignment="1">
      <alignment horizontal="center" wrapText="1"/>
    </xf>
    <xf numFmtId="0" fontId="4" fillId="0" borderId="0" xfId="0" applyFont="1" applyAlignment="1">
      <alignment horizontal="center" wrapText="1"/>
    </xf>
    <xf numFmtId="0" fontId="0" fillId="0" borderId="1" xfId="0" applyBorder="1"/>
    <xf numFmtId="0" fontId="2" fillId="0" borderId="0" xfId="0" applyFont="1" applyAlignment="1"/>
    <xf numFmtId="0" fontId="2" fillId="0" borderId="0" xfId="0" applyFont="1"/>
    <xf numFmtId="0" fontId="0" fillId="2" borderId="0" xfId="0" applyFill="1"/>
    <xf numFmtId="9" fontId="0" fillId="0" borderId="0" xfId="3" applyFont="1" applyBorder="1"/>
    <xf numFmtId="0" fontId="0" fillId="0" borderId="0" xfId="0" applyFill="1"/>
    <xf numFmtId="0" fontId="0" fillId="0" borderId="0" xfId="0" applyBorder="1"/>
    <xf numFmtId="0" fontId="0" fillId="0" borderId="2" xfId="0" applyBorder="1"/>
    <xf numFmtId="0" fontId="0" fillId="0" borderId="4" xfId="0" applyBorder="1"/>
    <xf numFmtId="0" fontId="0" fillId="0" borderId="9" xfId="0" applyBorder="1" applyAlignment="1">
      <alignment horizontal="center" wrapText="1"/>
    </xf>
    <xf numFmtId="0" fontId="0" fillId="0" borderId="0" xfId="0" applyBorder="1" applyAlignment="1">
      <alignment horizontal="center"/>
    </xf>
    <xf numFmtId="0" fontId="0" fillId="0" borderId="10" xfId="0" applyBorder="1" applyAlignment="1">
      <alignment horizontal="center" wrapText="1"/>
    </xf>
    <xf numFmtId="9" fontId="0" fillId="0" borderId="9" xfId="3" applyFont="1" applyBorder="1"/>
    <xf numFmtId="0" fontId="0" fillId="0" borderId="9" xfId="0" applyBorder="1"/>
    <xf numFmtId="0" fontId="0" fillId="0" borderId="9" xfId="0" applyFill="1" applyBorder="1"/>
    <xf numFmtId="0" fontId="0" fillId="0" borderId="0" xfId="0" applyFill="1" applyBorder="1"/>
    <xf numFmtId="0" fontId="0" fillId="0" borderId="14" xfId="0" applyBorder="1"/>
    <xf numFmtId="0" fontId="0" fillId="0" borderId="15" xfId="0" applyBorder="1"/>
    <xf numFmtId="0" fontId="0" fillId="0" borderId="17" xfId="0" applyBorder="1"/>
    <xf numFmtId="0" fontId="0" fillId="0" borderId="11" xfId="0" applyBorder="1"/>
    <xf numFmtId="0" fontId="0" fillId="0" borderId="18" xfId="0" applyBorder="1"/>
    <xf numFmtId="0" fontId="0" fillId="0" borderId="19" xfId="0" applyBorder="1" applyAlignment="1">
      <alignment horizontal="center" wrapText="1"/>
    </xf>
    <xf numFmtId="0" fontId="0" fillId="0" borderId="23" xfId="0" applyBorder="1"/>
    <xf numFmtId="0" fontId="0" fillId="0" borderId="5" xfId="0" applyBorder="1"/>
    <xf numFmtId="0" fontId="0" fillId="3" borderId="2" xfId="0" applyFill="1" applyBorder="1"/>
    <xf numFmtId="0" fontId="2" fillId="0" borderId="0" xfId="0" applyFont="1" applyAlignment="1">
      <alignment horizontal="right"/>
    </xf>
    <xf numFmtId="0" fontId="0" fillId="0" borderId="0" xfId="0" applyFont="1"/>
    <xf numFmtId="0" fontId="2" fillId="0" borderId="0" xfId="0" applyFont="1" applyFill="1"/>
    <xf numFmtId="0" fontId="0" fillId="0" borderId="0" xfId="0" applyFill="1" applyAlignment="1">
      <alignment horizontal="center"/>
    </xf>
    <xf numFmtId="0" fontId="2" fillId="0" borderId="0" xfId="0" applyFont="1" applyFill="1" applyAlignment="1">
      <alignment horizontal="right"/>
    </xf>
    <xf numFmtId="165" fontId="0" fillId="0" borderId="0" xfId="0" applyNumberFormat="1" applyFill="1" applyBorder="1"/>
    <xf numFmtId="164" fontId="0" fillId="3" borderId="12" xfId="2" applyNumberFormat="1" applyFont="1" applyFill="1" applyBorder="1"/>
    <xf numFmtId="164" fontId="0" fillId="3" borderId="10" xfId="2" applyNumberFormat="1" applyFont="1" applyFill="1" applyBorder="1"/>
    <xf numFmtId="164" fontId="0" fillId="0" borderId="10" xfId="0" applyNumberFormat="1" applyBorder="1"/>
    <xf numFmtId="164" fontId="0" fillId="3" borderId="12" xfId="0" applyNumberFormat="1" applyFill="1" applyBorder="1"/>
    <xf numFmtId="164" fontId="0" fillId="3" borderId="10" xfId="0" applyNumberFormat="1" applyFill="1" applyBorder="1"/>
    <xf numFmtId="164" fontId="0" fillId="3" borderId="13" xfId="0" applyNumberFormat="1" applyFill="1" applyBorder="1"/>
    <xf numFmtId="164" fontId="0" fillId="3" borderId="16" xfId="0" applyNumberFormat="1" applyFill="1" applyBorder="1"/>
    <xf numFmtId="164" fontId="0" fillId="3" borderId="20" xfId="2" applyNumberFormat="1" applyFont="1" applyFill="1" applyBorder="1"/>
    <xf numFmtId="164" fontId="0" fillId="3" borderId="19" xfId="2" applyNumberFormat="1" applyFont="1" applyFill="1" applyBorder="1"/>
    <xf numFmtId="164" fontId="0" fillId="0" borderId="19" xfId="0" applyNumberFormat="1" applyBorder="1"/>
    <xf numFmtId="164" fontId="0" fillId="3" borderId="19" xfId="0" applyNumberFormat="1" applyFill="1" applyBorder="1"/>
    <xf numFmtId="164" fontId="0" fillId="3" borderId="21" xfId="0" applyNumberFormat="1" applyFill="1" applyBorder="1"/>
    <xf numFmtId="164" fontId="0" fillId="3" borderId="21" xfId="2" applyNumberFormat="1" applyFont="1" applyFill="1" applyBorder="1"/>
    <xf numFmtId="164" fontId="0" fillId="3" borderId="22" xfId="2" applyNumberFormat="1" applyFont="1" applyFill="1" applyBorder="1"/>
    <xf numFmtId="164" fontId="0" fillId="0" borderId="0" xfId="0" applyNumberFormat="1"/>
    <xf numFmtId="164" fontId="0" fillId="3" borderId="0" xfId="0" applyNumberFormat="1" applyFill="1" applyBorder="1"/>
    <xf numFmtId="0" fontId="2" fillId="0" borderId="0" xfId="0" applyFont="1" applyAlignment="1">
      <alignment horizontal="center" wrapText="1"/>
    </xf>
    <xf numFmtId="164" fontId="0" fillId="3" borderId="11" xfId="2" applyNumberFormat="1" applyFont="1" applyFill="1" applyBorder="1"/>
    <xf numFmtId="0" fontId="0" fillId="4" borderId="2" xfId="0" applyFill="1" applyBorder="1" applyProtection="1">
      <protection locked="0"/>
    </xf>
    <xf numFmtId="164" fontId="0" fillId="4" borderId="2" xfId="2" applyNumberFormat="1" applyFont="1" applyFill="1" applyBorder="1" applyProtection="1">
      <protection locked="0"/>
    </xf>
    <xf numFmtId="10" fontId="0" fillId="4" borderId="11" xfId="3" applyNumberFormat="1" applyFont="1" applyFill="1" applyBorder="1" applyProtection="1">
      <protection locked="0"/>
    </xf>
    <xf numFmtId="43" fontId="0" fillId="4" borderId="2" xfId="1" applyFont="1" applyFill="1" applyBorder="1" applyProtection="1">
      <protection locked="0"/>
    </xf>
    <xf numFmtId="43" fontId="0" fillId="4" borderId="11" xfId="1" applyNumberFormat="1" applyFont="1" applyFill="1" applyBorder="1" applyProtection="1">
      <protection locked="0"/>
    </xf>
    <xf numFmtId="165" fontId="0" fillId="4" borderId="2" xfId="0" applyNumberFormat="1" applyFill="1" applyBorder="1" applyProtection="1">
      <protection locked="0"/>
    </xf>
    <xf numFmtId="166" fontId="0" fillId="4" borderId="2" xfId="0" applyNumberFormat="1" applyFill="1" applyBorder="1" applyProtection="1">
      <protection locked="0"/>
    </xf>
    <xf numFmtId="164" fontId="0" fillId="4" borderId="2" xfId="0" applyNumberFormat="1" applyFill="1" applyBorder="1" applyProtection="1">
      <protection locked="0"/>
    </xf>
    <xf numFmtId="43" fontId="0" fillId="4" borderId="11" xfId="1" applyFont="1" applyFill="1" applyBorder="1" applyProtection="1">
      <protection locked="0"/>
    </xf>
    <xf numFmtId="164" fontId="0" fillId="4" borderId="12" xfId="2" applyNumberFormat="1" applyFont="1" applyFill="1" applyBorder="1" applyProtection="1">
      <protection locked="0"/>
    </xf>
    <xf numFmtId="164" fontId="0" fillId="4" borderId="10" xfId="2" applyNumberFormat="1" applyFont="1" applyFill="1" applyBorder="1" applyProtection="1">
      <protection locked="0"/>
    </xf>
    <xf numFmtId="0" fontId="0" fillId="4" borderId="3" xfId="0" applyFill="1" applyBorder="1" applyProtection="1">
      <protection locked="0"/>
    </xf>
    <xf numFmtId="167" fontId="0" fillId="4" borderId="2" xfId="3" applyNumberFormat="1" applyFont="1" applyFill="1" applyBorder="1" applyProtection="1">
      <protection locked="0"/>
    </xf>
    <xf numFmtId="0" fontId="0" fillId="0" borderId="0" xfId="0" applyAlignment="1" applyProtection="1">
      <alignment horizontal="center"/>
    </xf>
    <xf numFmtId="0" fontId="0" fillId="0" borderId="0" xfId="0" applyProtection="1"/>
    <xf numFmtId="0" fontId="6" fillId="0" borderId="0" xfId="0" applyFont="1"/>
    <xf numFmtId="0" fontId="8" fillId="0" borderId="0" xfId="0" applyFont="1"/>
    <xf numFmtId="0" fontId="9" fillId="0" borderId="0" xfId="0" applyFont="1"/>
    <xf numFmtId="0" fontId="11" fillId="0" borderId="0" xfId="0" applyFont="1"/>
    <xf numFmtId="0" fontId="7" fillId="0" borderId="0" xfId="0" applyFont="1"/>
    <xf numFmtId="0" fontId="12" fillId="0" borderId="0" xfId="0" applyFont="1"/>
    <xf numFmtId="0" fontId="13" fillId="0" borderId="0" xfId="0" applyFont="1"/>
    <xf numFmtId="166" fontId="0" fillId="4" borderId="11" xfId="3" applyNumberFormat="1" applyFont="1" applyFill="1" applyBorder="1" applyProtection="1">
      <protection locked="0"/>
    </xf>
    <xf numFmtId="0" fontId="15" fillId="5" borderId="0" xfId="4" applyFont="1" applyFill="1" applyAlignment="1"/>
    <xf numFmtId="0" fontId="15" fillId="0" borderId="0" xfId="4" applyFont="1" applyAlignment="1"/>
    <xf numFmtId="9" fontId="15" fillId="0" borderId="0" xfId="3" applyFont="1" applyAlignment="1"/>
    <xf numFmtId="43" fontId="15" fillId="0" borderId="0" xfId="4" applyNumberFormat="1" applyFont="1" applyAlignment="1"/>
    <xf numFmtId="168" fontId="15" fillId="0" borderId="0" xfId="5" applyNumberFormat="1" applyFont="1" applyAlignment="1"/>
    <xf numFmtId="43" fontId="15" fillId="0" borderId="0" xfId="5" applyFont="1" applyAlignment="1"/>
    <xf numFmtId="0" fontId="16" fillId="6" borderId="0" xfId="4" applyFont="1" applyFill="1" applyAlignment="1">
      <alignment horizontal="center"/>
    </xf>
    <xf numFmtId="0" fontId="15" fillId="0" borderId="2" xfId="4" applyFont="1" applyBorder="1" applyAlignment="1"/>
    <xf numFmtId="10" fontId="15" fillId="0" borderId="2" xfId="3" applyNumberFormat="1" applyFont="1" applyBorder="1" applyAlignment="1"/>
    <xf numFmtId="0" fontId="0" fillId="0" borderId="2" xfId="0" applyBorder="1" applyProtection="1">
      <protection locked="0"/>
    </xf>
    <xf numFmtId="0" fontId="0" fillId="0" borderId="2" xfId="0" applyBorder="1" applyAlignment="1" applyProtection="1">
      <alignment wrapText="1"/>
      <protection locked="0"/>
    </xf>
    <xf numFmtId="164" fontId="0" fillId="3" borderId="13" xfId="2" applyNumberFormat="1" applyFont="1" applyFill="1" applyBorder="1"/>
    <xf numFmtId="168" fontId="0" fillId="4" borderId="2" xfId="1" applyNumberFormat="1" applyFont="1" applyFill="1" applyBorder="1" applyProtection="1">
      <protection locked="0"/>
    </xf>
    <xf numFmtId="0" fontId="0" fillId="0" borderId="4" xfId="0" applyBorder="1" applyProtection="1">
      <protection locked="0"/>
    </xf>
    <xf numFmtId="0" fontId="0" fillId="0" borderId="23" xfId="0" applyBorder="1" applyProtection="1">
      <protection locked="0"/>
    </xf>
    <xf numFmtId="9" fontId="0" fillId="4" borderId="11" xfId="3" applyNumberFormat="1" applyFont="1" applyFill="1" applyBorder="1" applyProtection="1">
      <protection locked="0"/>
    </xf>
    <xf numFmtId="168" fontId="0" fillId="0" borderId="0" xfId="1" applyNumberFormat="1" applyFont="1" applyProtection="1">
      <protection locked="0"/>
    </xf>
    <xf numFmtId="168" fontId="0" fillId="4" borderId="11" xfId="1" applyNumberFormat="1" applyFont="1" applyFill="1" applyBorder="1" applyProtection="1">
      <protection locked="0"/>
    </xf>
    <xf numFmtId="0" fontId="0" fillId="4" borderId="4"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7" borderId="2" xfId="0" applyFill="1" applyBorder="1"/>
    <xf numFmtId="167" fontId="0" fillId="4" borderId="0" xfId="3" applyNumberFormat="1" applyFont="1" applyFill="1" applyBorder="1" applyProtection="1">
      <protection locked="0"/>
    </xf>
    <xf numFmtId="0" fontId="2" fillId="0" borderId="0" xfId="0" applyFont="1" applyAlignment="1">
      <alignment horizontal="center" wrapText="1"/>
    </xf>
    <xf numFmtId="0" fontId="0" fillId="4" borderId="4"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0" borderId="0" xfId="0" applyAlignment="1">
      <alignment horizontal="center"/>
    </xf>
    <xf numFmtId="0" fontId="2" fillId="8" borderId="0" xfId="0" applyFont="1" applyFill="1"/>
    <xf numFmtId="22" fontId="17" fillId="0" borderId="0" xfId="0" applyNumberFormat="1" applyFont="1"/>
    <xf numFmtId="10" fontId="0" fillId="0" borderId="0" xfId="3" applyNumberFormat="1" applyFont="1"/>
    <xf numFmtId="0" fontId="0" fillId="4" borderId="5" xfId="0" applyFill="1" applyBorder="1" applyAlignment="1" applyProtection="1">
      <protection locked="0"/>
    </xf>
    <xf numFmtId="0" fontId="0" fillId="4" borderId="2" xfId="0" applyFill="1" applyBorder="1" applyAlignment="1" applyProtection="1">
      <protection locked="0"/>
    </xf>
    <xf numFmtId="0" fontId="0" fillId="0" borderId="0" xfId="0" applyAlignment="1">
      <alignment wrapText="1"/>
    </xf>
    <xf numFmtId="43" fontId="0" fillId="0" borderId="2" xfId="0" applyNumberFormat="1" applyBorder="1"/>
    <xf numFmtId="164" fontId="0" fillId="0" borderId="2" xfId="2" applyNumberFormat="1" applyFont="1" applyBorder="1"/>
    <xf numFmtId="169" fontId="0" fillId="0" borderId="0" xfId="0" applyNumberFormat="1"/>
    <xf numFmtId="0" fontId="0" fillId="0" borderId="0" xfId="0" applyAlignment="1">
      <alignment horizontal="right"/>
    </xf>
    <xf numFmtId="0" fontId="0" fillId="0" borderId="0" xfId="0" applyAlignment="1"/>
    <xf numFmtId="2" fontId="0" fillId="0" borderId="2" xfId="0" applyNumberFormat="1" applyBorder="1"/>
    <xf numFmtId="164" fontId="0" fillId="0" borderId="0" xfId="0" applyNumberFormat="1" applyAlignment="1">
      <alignment horizontal="right"/>
    </xf>
    <xf numFmtId="164" fontId="0" fillId="0" borderId="2" xfId="0" applyNumberFormat="1" applyBorder="1"/>
    <xf numFmtId="164" fontId="0" fillId="0" borderId="0" xfId="2" applyNumberFormat="1" applyFont="1"/>
    <xf numFmtId="164" fontId="0" fillId="0" borderId="0" xfId="2" applyNumberFormat="1" applyFont="1" applyAlignment="1">
      <alignment horizontal="right"/>
    </xf>
    <xf numFmtId="0" fontId="0" fillId="9" borderId="0" xfId="0" applyFill="1"/>
    <xf numFmtId="0" fontId="0" fillId="0" borderId="0" xfId="0" applyAlignment="1">
      <alignment horizontal="center"/>
    </xf>
    <xf numFmtId="9" fontId="0" fillId="4" borderId="12" xfId="3" applyFont="1" applyFill="1" applyBorder="1" applyProtection="1">
      <protection locked="0"/>
    </xf>
    <xf numFmtId="167" fontId="0" fillId="3" borderId="2" xfId="3" applyNumberFormat="1" applyFont="1" applyFill="1" applyBorder="1"/>
    <xf numFmtId="0" fontId="0" fillId="0" borderId="6" xfId="0" applyBorder="1"/>
    <xf numFmtId="164" fontId="0" fillId="3" borderId="24" xfId="2" applyNumberFormat="1" applyFont="1" applyFill="1" applyBorder="1"/>
    <xf numFmtId="164" fontId="0" fillId="3" borderId="9" xfId="2" applyNumberFormat="1" applyFont="1" applyFill="1" applyBorder="1"/>
    <xf numFmtId="0" fontId="0" fillId="0" borderId="28" xfId="0" applyBorder="1" applyAlignment="1">
      <alignment horizontal="center"/>
    </xf>
    <xf numFmtId="0" fontId="0" fillId="0" borderId="29" xfId="0" applyBorder="1" applyAlignment="1">
      <alignment horizontal="center"/>
    </xf>
    <xf numFmtId="43" fontId="0" fillId="0" borderId="28" xfId="1" applyFont="1" applyBorder="1" applyProtection="1">
      <protection locked="0"/>
    </xf>
    <xf numFmtId="43" fontId="0" fillId="0" borderId="0" xfId="1" applyFont="1" applyBorder="1" applyProtection="1">
      <protection locked="0"/>
    </xf>
    <xf numFmtId="43" fontId="0" fillId="0" borderId="29" xfId="1" applyFont="1" applyBorder="1" applyProtection="1">
      <protection locked="0"/>
    </xf>
    <xf numFmtId="43" fontId="2" fillId="8" borderId="30" xfId="1" applyFont="1" applyFill="1" applyBorder="1"/>
    <xf numFmtId="43" fontId="2" fillId="8" borderId="31" xfId="1" applyFont="1" applyFill="1" applyBorder="1"/>
    <xf numFmtId="43" fontId="2" fillId="8" borderId="32" xfId="1" applyFont="1" applyFill="1" applyBorder="1"/>
    <xf numFmtId="164" fontId="0" fillId="0" borderId="28" xfId="2" applyNumberFormat="1" applyFont="1" applyBorder="1" applyProtection="1">
      <protection locked="0"/>
    </xf>
    <xf numFmtId="164" fontId="0" fillId="0" borderId="0" xfId="2" applyNumberFormat="1" applyFont="1" applyBorder="1" applyProtection="1">
      <protection locked="0"/>
    </xf>
    <xf numFmtId="164" fontId="0" fillId="0" borderId="29" xfId="2" applyNumberFormat="1" applyFont="1" applyBorder="1" applyProtection="1">
      <protection locked="0"/>
    </xf>
    <xf numFmtId="0" fontId="0" fillId="0" borderId="0" xfId="0" applyBorder="1" applyAlignment="1">
      <alignment horizontal="center" wrapText="1"/>
    </xf>
    <xf numFmtId="164" fontId="2" fillId="8" borderId="30" xfId="2" applyNumberFormat="1" applyFont="1" applyFill="1" applyBorder="1"/>
    <xf numFmtId="164" fontId="2" fillId="8" borderId="31" xfId="2" applyNumberFormat="1" applyFont="1" applyFill="1" applyBorder="1"/>
    <xf numFmtId="164" fontId="2" fillId="8" borderId="32" xfId="2" applyNumberFormat="1" applyFont="1" applyFill="1" applyBorder="1"/>
    <xf numFmtId="2" fontId="0" fillId="0" borderId="25" xfId="0" applyNumberFormat="1" applyBorder="1"/>
    <xf numFmtId="43" fontId="0" fillId="0" borderId="26" xfId="1" applyFont="1" applyBorder="1" applyProtection="1">
      <protection locked="0"/>
    </xf>
    <xf numFmtId="43" fontId="0" fillId="0" borderId="27" xfId="1" applyFont="1" applyBorder="1" applyProtection="1">
      <protection locked="0"/>
    </xf>
    <xf numFmtId="2" fontId="0" fillId="0" borderId="28" xfId="0" applyNumberFormat="1" applyBorder="1"/>
    <xf numFmtId="2" fontId="0" fillId="0" borderId="30" xfId="0" applyNumberFormat="1" applyBorder="1"/>
    <xf numFmtId="43" fontId="0" fillId="0" borderId="31" xfId="1" applyFont="1" applyBorder="1" applyProtection="1">
      <protection locked="0"/>
    </xf>
    <xf numFmtId="43" fontId="0" fillId="0" borderId="32" xfId="1" applyFont="1" applyBorder="1" applyProtection="1">
      <protection locked="0"/>
    </xf>
    <xf numFmtId="164" fontId="0" fillId="0" borderId="25" xfId="2" applyNumberFormat="1" applyFont="1" applyBorder="1" applyProtection="1">
      <protection locked="0"/>
    </xf>
    <xf numFmtId="164" fontId="0" fillId="0" borderId="26" xfId="2" applyNumberFormat="1" applyFont="1" applyBorder="1" applyProtection="1">
      <protection locked="0"/>
    </xf>
    <xf numFmtId="164" fontId="0" fillId="0" borderId="27" xfId="2" applyNumberFormat="1" applyFont="1" applyBorder="1" applyProtection="1">
      <protection locked="0"/>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Protection="1"/>
    <xf numFmtId="0" fontId="0" fillId="0" borderId="0" xfId="0" applyBorder="1" applyProtection="1"/>
    <xf numFmtId="9" fontId="0" fillId="0" borderId="0" xfId="0" applyNumberFormat="1" applyBorder="1" applyProtection="1"/>
    <xf numFmtId="0" fontId="0" fillId="0" borderId="29" xfId="0" applyBorder="1" applyProtection="1"/>
    <xf numFmtId="0" fontId="0" fillId="0" borderId="30" xfId="0" applyBorder="1" applyProtection="1"/>
    <xf numFmtId="0" fontId="0" fillId="0" borderId="31" xfId="0" applyBorder="1" applyProtection="1"/>
    <xf numFmtId="0" fontId="0" fillId="0" borderId="2" xfId="0" applyFill="1" applyBorder="1"/>
    <xf numFmtId="164" fontId="0" fillId="0" borderId="2" xfId="2" applyNumberFormat="1" applyFont="1" applyFill="1" applyBorder="1"/>
    <xf numFmtId="9" fontId="0" fillId="0" borderId="29" xfId="3" applyFont="1" applyBorder="1" applyProtection="1"/>
    <xf numFmtId="0" fontId="0" fillId="0" borderId="29" xfId="0" applyBorder="1"/>
    <xf numFmtId="9" fontId="0" fillId="0" borderId="29" xfId="3" applyFont="1" applyBorder="1"/>
    <xf numFmtId="0" fontId="0" fillId="0" borderId="2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9" xfId="0" applyBorder="1" applyAlignment="1" applyProtection="1">
      <alignment horizontal="center"/>
      <protection locked="0"/>
    </xf>
    <xf numFmtId="168" fontId="0" fillId="0" borderId="28" xfId="1" applyNumberFormat="1" applyFont="1" applyBorder="1" applyProtection="1">
      <protection locked="0"/>
    </xf>
    <xf numFmtId="168" fontId="0" fillId="0" borderId="0" xfId="1" applyNumberFormat="1" applyFont="1" applyBorder="1" applyProtection="1">
      <protection locked="0"/>
    </xf>
    <xf numFmtId="168" fontId="0" fillId="0" borderId="29" xfId="1" applyNumberFormat="1" applyFont="1" applyBorder="1" applyProtection="1">
      <protection locked="0"/>
    </xf>
    <xf numFmtId="168" fontId="0" fillId="0" borderId="30" xfId="1" applyNumberFormat="1" applyFont="1" applyBorder="1" applyProtection="1">
      <protection locked="0"/>
    </xf>
    <xf numFmtId="168" fontId="0" fillId="0" borderId="31" xfId="1" applyNumberFormat="1" applyFont="1" applyBorder="1" applyProtection="1">
      <protection locked="0"/>
    </xf>
    <xf numFmtId="168" fontId="0" fillId="0" borderId="32" xfId="1" applyNumberFormat="1" applyFont="1" applyBorder="1" applyProtection="1">
      <protection locked="0"/>
    </xf>
    <xf numFmtId="168" fontId="0" fillId="0" borderId="25" xfId="1" applyNumberFormat="1" applyFont="1" applyBorder="1" applyProtection="1">
      <protection locked="0"/>
    </xf>
    <xf numFmtId="168" fontId="0" fillId="0" borderId="26" xfId="1" applyNumberFormat="1" applyFont="1" applyBorder="1" applyProtection="1">
      <protection locked="0"/>
    </xf>
    <xf numFmtId="168" fontId="0" fillId="0" borderId="27" xfId="1" applyNumberFormat="1" applyFont="1" applyBorder="1" applyProtection="1">
      <protection locked="0"/>
    </xf>
    <xf numFmtId="43" fontId="0" fillId="0" borderId="28" xfId="1" applyNumberFormat="1" applyFont="1" applyBorder="1" applyProtection="1">
      <protection locked="0"/>
    </xf>
    <xf numFmtId="43" fontId="0" fillId="0" borderId="0" xfId="1" applyNumberFormat="1" applyFont="1" applyBorder="1" applyProtection="1">
      <protection locked="0"/>
    </xf>
    <xf numFmtId="43" fontId="0" fillId="0" borderId="29" xfId="1" applyNumberFormat="1" applyFont="1" applyBorder="1" applyProtection="1">
      <protection locked="0"/>
    </xf>
    <xf numFmtId="166" fontId="2" fillId="10" borderId="0" xfId="3" applyNumberFormat="1" applyFont="1" applyFill="1"/>
    <xf numFmtId="0" fontId="2" fillId="10" borderId="0" xfId="0" applyFont="1" applyFill="1"/>
    <xf numFmtId="0" fontId="0" fillId="10" borderId="0" xfId="0" applyFill="1"/>
    <xf numFmtId="166" fontId="0" fillId="10" borderId="0" xfId="3" applyNumberFormat="1" applyFont="1" applyFill="1"/>
    <xf numFmtId="0" fontId="0" fillId="10" borderId="0" xfId="0" applyFill="1" applyAlignment="1">
      <alignment horizontal="center" wrapText="1"/>
    </xf>
    <xf numFmtId="0" fontId="20" fillId="0" borderId="0" xfId="6"/>
    <xf numFmtId="0" fontId="8" fillId="0" borderId="0" xfId="0" applyFont="1" applyAlignment="1">
      <alignment vertical="center"/>
    </xf>
    <xf numFmtId="0" fontId="24" fillId="0" borderId="0" xfId="0" applyFont="1" applyAlignment="1">
      <alignment horizontal="left" vertical="center" indent="1"/>
    </xf>
    <xf numFmtId="0" fontId="25" fillId="0" borderId="0" xfId="0" applyFont="1" applyAlignment="1">
      <alignment vertical="center"/>
    </xf>
    <xf numFmtId="0" fontId="21" fillId="0" borderId="0" xfId="0" applyFont="1" applyAlignment="1">
      <alignment horizontal="left" vertical="center" indent="1"/>
    </xf>
    <xf numFmtId="0" fontId="21" fillId="0" borderId="0" xfId="0" applyFont="1" applyAlignment="1">
      <alignment vertical="center"/>
    </xf>
    <xf numFmtId="0" fontId="20" fillId="0" borderId="0" xfId="6" applyAlignment="1">
      <alignment horizontal="left" vertical="center" indent="4"/>
    </xf>
    <xf numFmtId="0" fontId="27" fillId="0" borderId="0" xfId="0" applyFont="1" applyAlignment="1">
      <alignment horizontal="left" vertical="center" indent="1"/>
    </xf>
    <xf numFmtId="0" fontId="0" fillId="0" borderId="0" xfId="0" applyAlignment="1">
      <alignment horizontal="center"/>
    </xf>
    <xf numFmtId="0" fontId="0" fillId="4" borderId="2" xfId="0" applyFill="1" applyBorder="1" applyProtection="1"/>
    <xf numFmtId="9" fontId="0" fillId="0" borderId="32" xfId="3" applyFont="1" applyBorder="1" applyProtection="1"/>
    <xf numFmtId="0" fontId="0" fillId="0" borderId="0" xfId="0" applyFill="1" applyBorder="1" applyProtection="1"/>
    <xf numFmtId="169" fontId="0" fillId="4" borderId="2" xfId="0" applyNumberFormat="1" applyFill="1" applyBorder="1" applyProtection="1">
      <protection locked="0"/>
    </xf>
    <xf numFmtId="0" fontId="30" fillId="0" borderId="0" xfId="0" applyFont="1" applyAlignment="1">
      <alignment vertical="center"/>
    </xf>
    <xf numFmtId="165" fontId="18" fillId="0" borderId="0" xfId="0" applyNumberFormat="1" applyFont="1" applyBorder="1"/>
    <xf numFmtId="0" fontId="19" fillId="0" borderId="0" xfId="0" applyFont="1" applyBorder="1"/>
    <xf numFmtId="0" fontId="31" fillId="12" borderId="34" xfId="0" applyFont="1" applyFill="1" applyBorder="1" applyAlignment="1">
      <alignment horizontal="left"/>
    </xf>
    <xf numFmtId="0" fontId="31" fillId="12" borderId="34" xfId="0" applyFont="1" applyFill="1" applyBorder="1" applyAlignment="1"/>
    <xf numFmtId="0" fontId="31" fillId="0" borderId="0" xfId="0" applyFont="1" applyAlignment="1">
      <alignment horizontal="center" wrapText="1"/>
    </xf>
    <xf numFmtId="164" fontId="31" fillId="0" borderId="0" xfId="2" applyNumberFormat="1" applyFont="1" applyAlignment="1">
      <alignment horizontal="center" wrapText="1"/>
    </xf>
    <xf numFmtId="164" fontId="31" fillId="13" borderId="0" xfId="2" applyNumberFormat="1" applyFont="1" applyFill="1" applyAlignment="1">
      <alignment horizontal="center" wrapText="1"/>
    </xf>
    <xf numFmtId="164" fontId="34" fillId="13" borderId="0" xfId="2" applyNumberFormat="1" applyFont="1" applyFill="1"/>
    <xf numFmtId="164" fontId="33" fillId="0" borderId="0" xfId="2" applyNumberFormat="1" applyFont="1"/>
    <xf numFmtId="0" fontId="34" fillId="0" borderId="0" xfId="0" applyFont="1"/>
    <xf numFmtId="0" fontId="35" fillId="0" borderId="0" xfId="0" applyFont="1"/>
    <xf numFmtId="164" fontId="34" fillId="0" borderId="0" xfId="2" applyNumberFormat="1" applyFont="1"/>
    <xf numFmtId="164" fontId="34" fillId="5" borderId="0" xfId="2" applyNumberFormat="1" applyFont="1" applyFill="1"/>
    <xf numFmtId="0" fontId="33" fillId="0" borderId="0" xfId="0" applyFont="1"/>
    <xf numFmtId="164" fontId="3" fillId="0" borderId="0" xfId="0" applyNumberFormat="1" applyFont="1"/>
    <xf numFmtId="168" fontId="34" fillId="0" borderId="0" xfId="1" applyNumberFormat="1" applyFont="1"/>
    <xf numFmtId="0" fontId="6" fillId="14" borderId="0" xfId="0" applyFont="1" applyFill="1" applyAlignment="1"/>
    <xf numFmtId="0" fontId="0" fillId="0" borderId="0" xfId="0" applyAlignment="1">
      <alignment horizontal="left"/>
    </xf>
    <xf numFmtId="0" fontId="2" fillId="15" borderId="0" xfId="0" applyFont="1" applyFill="1" applyAlignment="1">
      <alignment horizontal="left"/>
    </xf>
    <xf numFmtId="0" fontId="2" fillId="15" borderId="0" xfId="0" applyNumberFormat="1" applyFont="1" applyFill="1" applyAlignment="1">
      <alignment horizontal="center"/>
    </xf>
    <xf numFmtId="37" fontId="2" fillId="15" borderId="0" xfId="0" applyNumberFormat="1" applyFont="1" applyFill="1"/>
    <xf numFmtId="0" fontId="0" fillId="0" borderId="0" xfId="0" applyAlignment="1">
      <alignment horizontal="left" indent="1"/>
    </xf>
    <xf numFmtId="37" fontId="0" fillId="0" borderId="0" xfId="1" applyNumberFormat="1" applyFont="1" applyFill="1" applyAlignment="1">
      <alignment horizontal="right"/>
    </xf>
    <xf numFmtId="0" fontId="0" fillId="0" borderId="0" xfId="0" applyNumberFormat="1" applyAlignment="1">
      <alignment horizontal="center"/>
    </xf>
    <xf numFmtId="37" fontId="0" fillId="0" borderId="0" xfId="0" applyNumberFormat="1"/>
    <xf numFmtId="0" fontId="0" fillId="0" borderId="0" xfId="0" applyFont="1" applyAlignment="1">
      <alignment horizontal="left" indent="1"/>
    </xf>
    <xf numFmtId="0" fontId="2" fillId="0" borderId="0" xfId="0" applyFont="1" applyFill="1" applyAlignment="1">
      <alignment horizontal="left"/>
    </xf>
    <xf numFmtId="0" fontId="2" fillId="0" borderId="0" xfId="0" applyNumberFormat="1" applyFont="1" applyFill="1" applyAlignment="1">
      <alignment horizontal="center"/>
    </xf>
    <xf numFmtId="37" fontId="2" fillId="0" borderId="0" xfId="0" applyNumberFormat="1" applyFont="1" applyFill="1"/>
    <xf numFmtId="0" fontId="6" fillId="0" borderId="0" xfId="0" applyFont="1" applyFill="1" applyAlignment="1"/>
    <xf numFmtId="0" fontId="6" fillId="0" borderId="0" xfId="0" applyFont="1" applyAlignment="1"/>
    <xf numFmtId="37" fontId="0" fillId="0" borderId="0" xfId="0" applyNumberFormat="1" applyFont="1" applyFill="1" applyAlignment="1">
      <alignment horizontal="center"/>
    </xf>
    <xf numFmtId="0" fontId="38" fillId="0" borderId="0" xfId="0" applyFont="1" applyAlignment="1"/>
    <xf numFmtId="37" fontId="0" fillId="5" borderId="0" xfId="1" applyNumberFormat="1" applyFont="1" applyFill="1" applyAlignment="1">
      <alignment horizontal="right"/>
    </xf>
    <xf numFmtId="0" fontId="0" fillId="5" borderId="10" xfId="0" applyFill="1" applyBorder="1"/>
    <xf numFmtId="0" fontId="0" fillId="0" borderId="10" xfId="0" applyBorder="1"/>
    <xf numFmtId="2" fontId="0" fillId="5" borderId="10" xfId="0" applyNumberFormat="1" applyFill="1" applyBorder="1"/>
    <xf numFmtId="0" fontId="0" fillId="0" borderId="16" xfId="0" applyBorder="1"/>
    <xf numFmtId="0" fontId="39" fillId="0" borderId="0" xfId="0" applyFont="1" applyAlignment="1">
      <alignment horizontal="center"/>
    </xf>
    <xf numFmtId="0" fontId="34" fillId="0" borderId="0" xfId="0" applyFont="1" applyAlignment="1">
      <alignment horizontal="center" wrapText="1"/>
    </xf>
    <xf numFmtId="39" fontId="2" fillId="0" borderId="0" xfId="2" applyNumberFormat="1" applyFont="1"/>
    <xf numFmtId="44" fontId="2" fillId="0" borderId="0" xfId="2" applyNumberFormat="1" applyFont="1"/>
    <xf numFmtId="44" fontId="0" fillId="0" borderId="0" xfId="2" applyNumberFormat="1" applyFont="1"/>
    <xf numFmtId="0" fontId="0" fillId="16" borderId="0" xfId="0" applyFill="1"/>
    <xf numFmtId="0" fontId="40" fillId="0" borderId="0" xfId="0" applyFont="1" applyAlignment="1">
      <alignment horizontal="center"/>
    </xf>
    <xf numFmtId="164" fontId="0" fillId="0" borderId="1" xfId="2" applyNumberFormat="1" applyFont="1" applyBorder="1"/>
    <xf numFmtId="164" fontId="0" fillId="4" borderId="5" xfId="2" applyNumberFormat="1" applyFont="1" applyFill="1" applyBorder="1" applyProtection="1">
      <protection locked="0"/>
    </xf>
    <xf numFmtId="0" fontId="0" fillId="0" borderId="36" xfId="0" applyBorder="1"/>
    <xf numFmtId="0" fontId="0" fillId="4" borderId="36" xfId="0" applyFill="1" applyBorder="1" applyProtection="1">
      <protection locked="0"/>
    </xf>
    <xf numFmtId="44" fontId="0" fillId="0" borderId="0" xfId="2" applyFont="1"/>
    <xf numFmtId="166" fontId="0" fillId="0" borderId="0" xfId="3" applyNumberFormat="1" applyFont="1"/>
    <xf numFmtId="0" fontId="41" fillId="0" borderId="0" xfId="0" applyFont="1"/>
    <xf numFmtId="0" fontId="2" fillId="0" borderId="0" xfId="0" applyFont="1" applyAlignment="1">
      <alignment horizontal="center" wrapText="1"/>
    </xf>
    <xf numFmtId="0" fontId="0" fillId="0" borderId="0" xfId="0" applyAlignment="1">
      <alignment horizontal="center"/>
    </xf>
    <xf numFmtId="164" fontId="0" fillId="0" borderId="9" xfId="0" applyNumberFormat="1" applyBorder="1"/>
    <xf numFmtId="164" fontId="0" fillId="0" borderId="9" xfId="2" applyNumberFormat="1" applyFont="1" applyBorder="1"/>
    <xf numFmtId="164" fontId="0" fillId="0" borderId="0" xfId="2" applyNumberFormat="1" applyFont="1" applyBorder="1"/>
    <xf numFmtId="164" fontId="0" fillId="0" borderId="10" xfId="2" applyNumberFormat="1" applyFont="1" applyBorder="1"/>
    <xf numFmtId="168" fontId="0" fillId="0" borderId="9" xfId="1" applyNumberFormat="1" applyFont="1" applyBorder="1" applyProtection="1">
      <protection locked="0"/>
    </xf>
    <xf numFmtId="168" fontId="0" fillId="0" borderId="10" xfId="1" applyNumberFormat="1" applyFont="1" applyBorder="1" applyProtection="1">
      <protection locked="0"/>
    </xf>
    <xf numFmtId="164" fontId="0" fillId="0" borderId="9" xfId="2" applyNumberFormat="1" applyFont="1" applyBorder="1" applyProtection="1">
      <protection locked="0"/>
    </xf>
    <xf numFmtId="164" fontId="0" fillId="0" borderId="10" xfId="2" applyNumberFormat="1" applyFont="1" applyBorder="1" applyProtection="1">
      <protection locked="0"/>
    </xf>
    <xf numFmtId="168" fontId="0" fillId="0" borderId="14" xfId="1" applyNumberFormat="1" applyFont="1" applyBorder="1" applyProtection="1">
      <protection locked="0"/>
    </xf>
    <xf numFmtId="168" fontId="0" fillId="0" borderId="15" xfId="1" applyNumberFormat="1" applyFont="1" applyBorder="1" applyProtection="1">
      <protection locked="0"/>
    </xf>
    <xf numFmtId="168" fontId="0" fillId="0" borderId="16" xfId="1" applyNumberFormat="1" applyFont="1" applyBorder="1" applyProtection="1">
      <protection locked="0"/>
    </xf>
    <xf numFmtId="0" fontId="5" fillId="9" borderId="0" xfId="0" applyFont="1" applyFill="1"/>
    <xf numFmtId="0" fontId="42" fillId="9" borderId="0" xfId="0" applyFont="1" applyFill="1"/>
    <xf numFmtId="0" fontId="3" fillId="0" borderId="0" xfId="0" applyFont="1" applyAlignment="1">
      <alignment horizontal="center" wrapText="1"/>
    </xf>
    <xf numFmtId="0" fontId="43" fillId="0" borderId="0" xfId="0" applyFont="1" applyAlignment="1">
      <alignment horizontal="center"/>
    </xf>
    <xf numFmtId="0" fontId="43" fillId="13" borderId="0" xfId="0" applyFont="1" applyFill="1" applyAlignment="1">
      <alignment horizontal="center"/>
    </xf>
    <xf numFmtId="0" fontId="43" fillId="0" borderId="0" xfId="2" applyNumberFormat="1" applyFont="1" applyAlignment="1">
      <alignment horizontal="center"/>
    </xf>
    <xf numFmtId="0" fontId="32" fillId="0" borderId="0" xfId="0" applyFont="1" applyAlignment="1">
      <alignment horizontal="center" wrapText="1"/>
    </xf>
    <xf numFmtId="0" fontId="32" fillId="13" borderId="0" xfId="0" applyFont="1" applyFill="1" applyAlignment="1">
      <alignment horizontal="center" wrapText="1"/>
    </xf>
    <xf numFmtId="164" fontId="32" fillId="0" borderId="0" xfId="2" applyNumberFormat="1" applyFont="1" applyAlignment="1">
      <alignment horizontal="center" wrapText="1"/>
    </xf>
    <xf numFmtId="0" fontId="3" fillId="13" borderId="0" xfId="0" applyFont="1" applyFill="1"/>
    <xf numFmtId="164" fontId="3" fillId="0" borderId="0" xfId="2" applyNumberFormat="1" applyFont="1"/>
    <xf numFmtId="0" fontId="44" fillId="0" borderId="0" xfId="0" applyFont="1"/>
    <xf numFmtId="164" fontId="45" fillId="0" borderId="0" xfId="2" applyNumberFormat="1" applyFont="1" applyAlignment="1">
      <alignment horizontal="right"/>
    </xf>
    <xf numFmtId="14" fontId="43" fillId="0" borderId="0" xfId="0" applyNumberFormat="1" applyFont="1" applyAlignment="1">
      <alignment horizontal="center"/>
    </xf>
    <xf numFmtId="164" fontId="3" fillId="0" borderId="0" xfId="2" applyNumberFormat="1" applyFont="1" applyAlignment="1">
      <alignment horizontal="center" wrapText="1"/>
    </xf>
    <xf numFmtId="0" fontId="47" fillId="0" borderId="0" xfId="0" applyFont="1"/>
    <xf numFmtId="0" fontId="46" fillId="14" borderId="2" xfId="0" applyFont="1" applyFill="1" applyBorder="1" applyAlignment="1">
      <alignment wrapText="1"/>
    </xf>
    <xf numFmtId="3" fontId="46" fillId="14" borderId="2" xfId="0" applyNumberFormat="1" applyFont="1" applyFill="1" applyBorder="1"/>
    <xf numFmtId="3" fontId="48" fillId="14" borderId="2" xfId="0" applyNumberFormat="1" applyFont="1" applyFill="1" applyBorder="1"/>
    <xf numFmtId="0" fontId="48" fillId="14" borderId="2" xfId="0" applyFont="1" applyFill="1" applyBorder="1" applyAlignment="1">
      <alignment wrapText="1"/>
    </xf>
    <xf numFmtId="0" fontId="49" fillId="0" borderId="0" xfId="0" applyFont="1"/>
    <xf numFmtId="0" fontId="47" fillId="0" borderId="0" xfId="0" applyFont="1" applyAlignment="1">
      <alignment wrapText="1"/>
    </xf>
    <xf numFmtId="3" fontId="47" fillId="0" borderId="0" xfId="0" applyNumberFormat="1" applyFont="1"/>
    <xf numFmtId="0" fontId="46" fillId="14" borderId="2" xfId="0" applyFont="1" applyFill="1" applyBorder="1" applyAlignment="1"/>
    <xf numFmtId="0" fontId="46" fillId="4" borderId="4" xfId="0" applyFont="1" applyFill="1" applyBorder="1" applyAlignment="1">
      <alignment wrapText="1"/>
    </xf>
    <xf numFmtId="0" fontId="46" fillId="4" borderId="23" xfId="0" applyFont="1" applyFill="1" applyBorder="1" applyAlignment="1">
      <alignment wrapText="1"/>
    </xf>
    <xf numFmtId="0" fontId="46" fillId="4" borderId="5" xfId="0" applyFont="1" applyFill="1" applyBorder="1" applyAlignment="1">
      <alignment wrapText="1"/>
    </xf>
    <xf numFmtId="0" fontId="46" fillId="4" borderId="2" xfId="0" applyFont="1" applyFill="1" applyBorder="1" applyAlignment="1">
      <alignment wrapText="1"/>
    </xf>
    <xf numFmtId="3" fontId="46" fillId="4" borderId="2" xfId="0" applyNumberFormat="1" applyFont="1" applyFill="1" applyBorder="1"/>
    <xf numFmtId="0" fontId="46" fillId="3" borderId="2" xfId="0" applyFont="1" applyFill="1" applyBorder="1" applyAlignment="1">
      <alignment wrapText="1"/>
    </xf>
    <xf numFmtId="3" fontId="46" fillId="3" borderId="2" xfId="0" applyNumberFormat="1" applyFont="1" applyFill="1" applyBorder="1"/>
    <xf numFmtId="0" fontId="46" fillId="4" borderId="4" xfId="0" applyFont="1" applyFill="1" applyBorder="1" applyAlignment="1"/>
    <xf numFmtId="0" fontId="46" fillId="3" borderId="2" xfId="0" applyFont="1" applyFill="1" applyBorder="1" applyAlignment="1"/>
    <xf numFmtId="3" fontId="48" fillId="3" borderId="2" xfId="0" applyNumberFormat="1" applyFont="1" applyFill="1" applyBorder="1"/>
    <xf numFmtId="0" fontId="46" fillId="14" borderId="36" xfId="0" applyFont="1" applyFill="1" applyBorder="1" applyAlignment="1">
      <alignment wrapText="1"/>
    </xf>
    <xf numFmtId="0" fontId="46" fillId="14" borderId="37" xfId="0" applyFont="1" applyFill="1" applyBorder="1" applyAlignment="1">
      <alignment wrapText="1"/>
    </xf>
    <xf numFmtId="0" fontId="46" fillId="14" borderId="38" xfId="0" applyFont="1" applyFill="1" applyBorder="1" applyAlignment="1">
      <alignment wrapText="1"/>
    </xf>
    <xf numFmtId="0" fontId="48" fillId="0" borderId="0" xfId="0" applyFont="1"/>
    <xf numFmtId="0" fontId="48" fillId="2" borderId="23" xfId="0" applyFont="1" applyFill="1" applyBorder="1" applyAlignment="1">
      <alignment wrapText="1"/>
    </xf>
    <xf numFmtId="0" fontId="46" fillId="0" borderId="0" xfId="0" applyFont="1"/>
    <xf numFmtId="0" fontId="48" fillId="0" borderId="0" xfId="0" applyFont="1" applyAlignment="1">
      <alignment horizontal="left" wrapText="1"/>
    </xf>
    <xf numFmtId="3" fontId="48" fillId="0" borderId="0" xfId="0" applyNumberFormat="1" applyFont="1"/>
    <xf numFmtId="0" fontId="48" fillId="0" borderId="0" xfId="0" applyFont="1" applyAlignment="1">
      <alignment wrapText="1"/>
    </xf>
    <xf numFmtId="8" fontId="48" fillId="0" borderId="0" xfId="0" applyNumberFormat="1" applyFont="1"/>
    <xf numFmtId="0" fontId="48" fillId="0" borderId="2" xfId="0" applyFont="1" applyBorder="1"/>
    <xf numFmtId="164" fontId="48" fillId="0" borderId="2" xfId="2" applyNumberFormat="1" applyFont="1" applyBorder="1"/>
    <xf numFmtId="0" fontId="50" fillId="0" borderId="0" xfId="0" applyFont="1" applyAlignment="1" applyProtection="1">
      <alignment horizontal="left" wrapText="1"/>
      <protection locked="0"/>
    </xf>
    <xf numFmtId="0" fontId="48" fillId="0" borderId="0" xfId="0" applyFont="1" applyAlignment="1" applyProtection="1">
      <alignment horizontal="left" wrapText="1"/>
      <protection locked="0"/>
    </xf>
    <xf numFmtId="3" fontId="48" fillId="0" borderId="0" xfId="0" applyNumberFormat="1" applyFont="1" applyProtection="1">
      <protection locked="0"/>
    </xf>
    <xf numFmtId="0" fontId="48" fillId="0" borderId="0" xfId="0" applyFont="1" applyAlignment="1" applyProtection="1">
      <alignment wrapText="1"/>
      <protection locked="0"/>
    </xf>
    <xf numFmtId="0" fontId="46" fillId="0" borderId="0" xfId="0" applyFont="1" applyAlignment="1" applyProtection="1">
      <alignment horizontal="left" wrapText="1"/>
      <protection locked="0"/>
    </xf>
    <xf numFmtId="3" fontId="46" fillId="0" borderId="0" xfId="0" applyNumberFormat="1" applyFont="1" applyProtection="1">
      <protection locked="0"/>
    </xf>
    <xf numFmtId="3" fontId="48" fillId="0" borderId="2" xfId="0" applyNumberFormat="1" applyFont="1" applyBorder="1" applyProtection="1">
      <protection locked="0"/>
    </xf>
    <xf numFmtId="3" fontId="48" fillId="0" borderId="2" xfId="0" applyNumberFormat="1" applyFont="1" applyBorder="1" applyAlignment="1" applyProtection="1">
      <alignment wrapText="1"/>
      <protection locked="0"/>
    </xf>
    <xf numFmtId="0" fontId="48" fillId="0" borderId="2" xfId="0" applyFont="1" applyBorder="1" applyAlignment="1" applyProtection="1">
      <alignment wrapText="1"/>
      <protection locked="0"/>
    </xf>
    <xf numFmtId="0" fontId="2" fillId="4" borderId="0" xfId="0" applyFont="1" applyFill="1"/>
    <xf numFmtId="0" fontId="2" fillId="3" borderId="0" xfId="0" applyFont="1" applyFill="1"/>
    <xf numFmtId="0" fontId="0" fillId="3" borderId="0" xfId="0" applyFill="1"/>
    <xf numFmtId="168" fontId="0" fillId="0" borderId="0" xfId="1" applyNumberFormat="1" applyFont="1" applyAlignment="1">
      <alignment horizontal="center"/>
    </xf>
    <xf numFmtId="168" fontId="0" fillId="0" borderId="0" xfId="1" applyNumberFormat="1" applyFont="1"/>
    <xf numFmtId="168" fontId="2" fillId="0" borderId="0" xfId="1" applyNumberFormat="1" applyFont="1" applyAlignment="1">
      <alignment horizontal="center"/>
    </xf>
    <xf numFmtId="0" fontId="0" fillId="0" borderId="0" xfId="0" applyFont="1" applyAlignment="1">
      <alignment horizontal="right"/>
    </xf>
    <xf numFmtId="168" fontId="1" fillId="0" borderId="0" xfId="1" applyNumberFormat="1" applyFont="1" applyAlignment="1">
      <alignment horizontal="center"/>
    </xf>
    <xf numFmtId="0" fontId="0" fillId="0" borderId="0" xfId="0" applyFill="1" applyAlignment="1">
      <alignment horizontal="right"/>
    </xf>
    <xf numFmtId="168" fontId="0" fillId="0" borderId="0" xfId="1" applyNumberFormat="1" applyFont="1" applyFill="1" applyAlignment="1">
      <alignment horizontal="center"/>
    </xf>
    <xf numFmtId="0" fontId="2" fillId="4" borderId="0" xfId="0" applyFont="1" applyFill="1" applyAlignment="1">
      <alignment horizontal="right"/>
    </xf>
    <xf numFmtId="168" fontId="2" fillId="4" borderId="0" xfId="1" applyNumberFormat="1" applyFont="1" applyFill="1" applyAlignment="1">
      <alignment horizontal="center"/>
    </xf>
    <xf numFmtId="0" fontId="2" fillId="4" borderId="0" xfId="0" applyFont="1" applyFill="1" applyAlignment="1">
      <alignment wrapText="1"/>
    </xf>
    <xf numFmtId="0" fontId="2" fillId="0" borderId="0" xfId="0" applyFont="1" applyAlignment="1">
      <alignment horizontal="left" wrapText="1"/>
    </xf>
    <xf numFmtId="0" fontId="2" fillId="4" borderId="0" xfId="0" applyFont="1" applyFill="1" applyAlignment="1"/>
    <xf numFmtId="168" fontId="2" fillId="0" borderId="0" xfId="1" applyNumberFormat="1" applyFont="1"/>
    <xf numFmtId="0" fontId="0" fillId="3" borderId="0" xfId="0" applyFill="1" applyAlignment="1"/>
    <xf numFmtId="168" fontId="0" fillId="3" borderId="0" xfId="1" applyNumberFormat="1" applyFont="1" applyFill="1"/>
    <xf numFmtId="43" fontId="0" fillId="3" borderId="0" xfId="1" applyFont="1" applyFill="1" applyAlignment="1">
      <alignment wrapText="1"/>
    </xf>
    <xf numFmtId="0" fontId="5" fillId="0" borderId="0" xfId="0" applyFont="1" applyAlignment="1">
      <alignment horizontal="center"/>
    </xf>
    <xf numFmtId="165" fontId="32" fillId="12" borderId="33" xfId="0" applyNumberFormat="1" applyFont="1" applyFill="1" applyBorder="1" applyAlignment="1">
      <alignment horizontal="right"/>
    </xf>
    <xf numFmtId="165" fontId="32" fillId="12" borderId="35" xfId="0" applyNumberFormat="1" applyFont="1" applyFill="1" applyBorder="1" applyAlignment="1">
      <alignment horizontal="right"/>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0" fillId="4" borderId="0" xfId="0" applyFill="1" applyAlignment="1" applyProtection="1">
      <alignment horizontal="center"/>
      <protection locked="0"/>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4" borderId="4"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0" xfId="0" applyFill="1" applyAlignment="1" applyProtection="1">
      <alignment horizontal="left"/>
      <protection locked="0"/>
    </xf>
    <xf numFmtId="0" fontId="2" fillId="0" borderId="0" xfId="0" applyFont="1" applyAlignment="1">
      <alignment horizontal="center" wrapText="1"/>
    </xf>
    <xf numFmtId="164" fontId="0" fillId="4" borderId="4" xfId="2" applyNumberFormat="1" applyFont="1" applyFill="1" applyBorder="1" applyAlignment="1" applyProtection="1">
      <alignment horizontal="center"/>
      <protection locked="0"/>
    </xf>
    <xf numFmtId="164" fontId="0" fillId="4" borderId="5" xfId="2" applyNumberFormat="1" applyFont="1" applyFill="1" applyBorder="1" applyAlignment="1" applyProtection="1">
      <alignment horizontal="center"/>
      <protection locked="0"/>
    </xf>
    <xf numFmtId="0" fontId="0" fillId="4" borderId="4" xfId="0" applyFill="1" applyBorder="1" applyAlignment="1" applyProtection="1">
      <alignment horizontal="center" wrapText="1"/>
      <protection locked="0"/>
    </xf>
    <xf numFmtId="0" fontId="0" fillId="4" borderId="23"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48" fillId="0" borderId="2" xfId="0" applyFont="1" applyBorder="1" applyAlignment="1" applyProtection="1">
      <alignment horizontal="left" wrapText="1"/>
      <protection locked="0"/>
    </xf>
    <xf numFmtId="0" fontId="48" fillId="0" borderId="4" xfId="0" applyFont="1" applyBorder="1" applyAlignment="1"/>
    <xf numFmtId="0" fontId="48" fillId="0" borderId="5" xfId="0" applyFont="1" applyBorder="1" applyAlignment="1"/>
    <xf numFmtId="0" fontId="6" fillId="3" borderId="0" xfId="0" applyFont="1" applyFill="1" applyAlignment="1">
      <alignment horizontal="center"/>
    </xf>
    <xf numFmtId="0" fontId="46" fillId="0" borderId="0" xfId="0" applyFont="1" applyAlignment="1" applyProtection="1">
      <alignment horizontal="center" wrapText="1"/>
      <protection locked="0"/>
    </xf>
    <xf numFmtId="0" fontId="46" fillId="4" borderId="23" xfId="0" applyFont="1" applyFill="1" applyBorder="1" applyAlignment="1">
      <alignment horizontal="center"/>
    </xf>
    <xf numFmtId="0" fontId="46" fillId="4" borderId="5" xfId="0" applyFont="1" applyFill="1" applyBorder="1" applyAlignment="1">
      <alignment horizontal="center"/>
    </xf>
    <xf numFmtId="165" fontId="31" fillId="12" borderId="33" xfId="0" applyNumberFormat="1" applyFont="1" applyFill="1" applyBorder="1" applyAlignment="1">
      <alignment horizontal="center"/>
    </xf>
    <xf numFmtId="165" fontId="31" fillId="12" borderId="35" xfId="0" applyNumberFormat="1" applyFont="1" applyFill="1" applyBorder="1" applyAlignment="1">
      <alignment horizontal="center"/>
    </xf>
    <xf numFmtId="0" fontId="5" fillId="11" borderId="9" xfId="0" applyFont="1" applyFill="1" applyBorder="1" applyAlignment="1">
      <alignment horizontal="center"/>
    </xf>
    <xf numFmtId="0" fontId="5" fillId="11" borderId="0" xfId="0" applyFont="1" applyFill="1" applyAlignment="1">
      <alignment horizontal="center"/>
    </xf>
    <xf numFmtId="0" fontId="6" fillId="11" borderId="0" xfId="0" applyFont="1" applyFill="1" applyAlignment="1">
      <alignment horizontal="center"/>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3" xfId="0" applyBorder="1" applyAlignment="1" applyProtection="1">
      <alignment horizontal="center"/>
      <protection locked="0"/>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0" xfId="0" applyAlignment="1">
      <alignment horizontal="center"/>
    </xf>
    <xf numFmtId="0" fontId="0" fillId="0" borderId="4" xfId="0" applyBorder="1" applyAlignment="1">
      <alignment horizontal="left"/>
    </xf>
    <xf numFmtId="0" fontId="0" fillId="0" borderId="23" xfId="0" applyBorder="1" applyAlignment="1">
      <alignment horizontal="left"/>
    </xf>
    <xf numFmtId="0" fontId="0" fillId="0" borderId="5" xfId="0" applyBorder="1" applyAlignment="1">
      <alignment horizontal="left"/>
    </xf>
    <xf numFmtId="0" fontId="0" fillId="0" borderId="4" xfId="0" applyBorder="1" applyAlignment="1">
      <alignment horizontal="center"/>
    </xf>
    <xf numFmtId="0" fontId="0" fillId="0" borderId="23" xfId="0" applyBorder="1" applyAlignment="1">
      <alignment horizontal="center"/>
    </xf>
    <xf numFmtId="0" fontId="0" fillId="0" borderId="5" xfId="0" applyBorder="1" applyAlignment="1">
      <alignment horizontal="center"/>
    </xf>
    <xf numFmtId="164" fontId="0" fillId="0" borderId="4" xfId="2" applyNumberFormat="1" applyFont="1" applyBorder="1" applyAlignment="1">
      <alignment horizontal="center"/>
    </xf>
    <xf numFmtId="164" fontId="0" fillId="0" borderId="5" xfId="2" applyNumberFormat="1" applyFont="1" applyBorder="1" applyAlignment="1">
      <alignment horizontal="center"/>
    </xf>
    <xf numFmtId="167" fontId="0" fillId="0" borderId="4" xfId="3" applyNumberFormat="1" applyFont="1" applyBorder="1" applyAlignment="1">
      <alignment horizontal="center"/>
    </xf>
    <xf numFmtId="167" fontId="0" fillId="0" borderId="5" xfId="3" applyNumberFormat="1" applyFont="1" applyBorder="1" applyAlignment="1">
      <alignment horizontal="center"/>
    </xf>
    <xf numFmtId="0" fontId="2" fillId="0" borderId="0" xfId="0" applyFont="1" applyAlignment="1">
      <alignment horizontal="center"/>
    </xf>
    <xf numFmtId="164" fontId="33" fillId="0" borderId="0" xfId="2" applyNumberFormat="1" applyFont="1" applyAlignment="1">
      <alignment horizontal="right"/>
    </xf>
    <xf numFmtId="0" fontId="39" fillId="0" borderId="0" xfId="0" applyFont="1" applyAlignment="1">
      <alignment horizontal="center"/>
    </xf>
  </cellXfs>
  <cellStyles count="7">
    <cellStyle name="Comma" xfId="1" builtinId="3"/>
    <cellStyle name="Comma 2" xfId="5"/>
    <cellStyle name="Currency" xfId="2" builtinId="4"/>
    <cellStyle name="Hyperlink" xfId="6" builtinId="8"/>
    <cellStyle name="Normal" xfId="0" builtinId="0"/>
    <cellStyle name="Normal 3" xfId="4"/>
    <cellStyle name="Percent" xfId="3" builtinId="5"/>
  </cellStyles>
  <dxfs count="1">
    <dxf>
      <font>
        <color rgb="FF9C0006"/>
      </font>
      <fill>
        <patternFill>
          <bgColor rgb="FFFFC7CE"/>
        </patternFill>
      </fill>
    </dxf>
  </dxfs>
  <tableStyles count="0" defaultTableStyle="TableStyleMedium9" defaultPivotStyle="PivotStyleLight16"/>
  <colors>
    <mruColors>
      <color rgb="FFFFFF99"/>
      <color rgb="FFA5CDF9"/>
      <color rgb="FFFF33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28</xdr:row>
      <xdr:rowOff>0</xdr:rowOff>
    </xdr:from>
    <xdr:to>
      <xdr:col>14</xdr:col>
      <xdr:colOff>265991</xdr:colOff>
      <xdr:row>29</xdr:row>
      <xdr:rowOff>47595</xdr:rowOff>
    </xdr:to>
    <xdr:pic>
      <xdr:nvPicPr>
        <xdr:cNvPr id="2" name="Picture 1"/>
        <xdr:cNvPicPr>
          <a:picLocks noChangeAspect="1"/>
        </xdr:cNvPicPr>
      </xdr:nvPicPr>
      <xdr:blipFill>
        <a:blip xmlns:r="http://schemas.openxmlformats.org/officeDocument/2006/relationships" r:embed="rId1"/>
        <a:stretch>
          <a:fillRect/>
        </a:stretch>
      </xdr:blipFill>
      <xdr:spPr>
        <a:xfrm>
          <a:off x="2771775" y="5334000"/>
          <a:ext cx="5676191" cy="2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28</xdr:row>
      <xdr:rowOff>0</xdr:rowOff>
    </xdr:from>
    <xdr:to>
      <xdr:col>14</xdr:col>
      <xdr:colOff>265991</xdr:colOff>
      <xdr:row>29</xdr:row>
      <xdr:rowOff>47595</xdr:rowOff>
    </xdr:to>
    <xdr:pic>
      <xdr:nvPicPr>
        <xdr:cNvPr id="2" name="Picture 1"/>
        <xdr:cNvPicPr>
          <a:picLocks noChangeAspect="1"/>
        </xdr:cNvPicPr>
      </xdr:nvPicPr>
      <xdr:blipFill>
        <a:blip xmlns:r="http://schemas.openxmlformats.org/officeDocument/2006/relationships" r:embed="rId1"/>
        <a:stretch>
          <a:fillRect/>
        </a:stretch>
      </xdr:blipFill>
      <xdr:spPr>
        <a:xfrm>
          <a:off x="5381625" y="6096000"/>
          <a:ext cx="5676191" cy="2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28</xdr:row>
      <xdr:rowOff>0</xdr:rowOff>
    </xdr:from>
    <xdr:to>
      <xdr:col>14</xdr:col>
      <xdr:colOff>265991</xdr:colOff>
      <xdr:row>29</xdr:row>
      <xdr:rowOff>47595</xdr:rowOff>
    </xdr:to>
    <xdr:pic>
      <xdr:nvPicPr>
        <xdr:cNvPr id="2" name="Picture 1"/>
        <xdr:cNvPicPr>
          <a:picLocks noChangeAspect="1"/>
        </xdr:cNvPicPr>
      </xdr:nvPicPr>
      <xdr:blipFill>
        <a:blip xmlns:r="http://schemas.openxmlformats.org/officeDocument/2006/relationships" r:embed="rId1"/>
        <a:stretch>
          <a:fillRect/>
        </a:stretch>
      </xdr:blipFill>
      <xdr:spPr>
        <a:xfrm>
          <a:off x="5381625" y="6096000"/>
          <a:ext cx="5676191" cy="238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28</xdr:row>
      <xdr:rowOff>0</xdr:rowOff>
    </xdr:from>
    <xdr:to>
      <xdr:col>14</xdr:col>
      <xdr:colOff>265991</xdr:colOff>
      <xdr:row>29</xdr:row>
      <xdr:rowOff>47595</xdr:rowOff>
    </xdr:to>
    <xdr:pic>
      <xdr:nvPicPr>
        <xdr:cNvPr id="2" name="Picture 1"/>
        <xdr:cNvPicPr>
          <a:picLocks noChangeAspect="1"/>
        </xdr:cNvPicPr>
      </xdr:nvPicPr>
      <xdr:blipFill>
        <a:blip xmlns:r="http://schemas.openxmlformats.org/officeDocument/2006/relationships" r:embed="rId1"/>
        <a:stretch>
          <a:fillRect/>
        </a:stretch>
      </xdr:blipFill>
      <xdr:spPr>
        <a:xfrm>
          <a:off x="5381625" y="6096000"/>
          <a:ext cx="5676191" cy="238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28</xdr:row>
      <xdr:rowOff>0</xdr:rowOff>
    </xdr:from>
    <xdr:to>
      <xdr:col>14</xdr:col>
      <xdr:colOff>265991</xdr:colOff>
      <xdr:row>29</xdr:row>
      <xdr:rowOff>47595</xdr:rowOff>
    </xdr:to>
    <xdr:pic>
      <xdr:nvPicPr>
        <xdr:cNvPr id="2" name="Picture 1"/>
        <xdr:cNvPicPr>
          <a:picLocks noChangeAspect="1"/>
        </xdr:cNvPicPr>
      </xdr:nvPicPr>
      <xdr:blipFill>
        <a:blip xmlns:r="http://schemas.openxmlformats.org/officeDocument/2006/relationships" r:embed="rId1"/>
        <a:stretch>
          <a:fillRect/>
        </a:stretch>
      </xdr:blipFill>
      <xdr:spPr>
        <a:xfrm>
          <a:off x="5381625" y="6096000"/>
          <a:ext cx="5676191" cy="238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333376</xdr:colOff>
      <xdr:row>40</xdr:row>
      <xdr:rowOff>47626</xdr:rowOff>
    </xdr:from>
    <xdr:to>
      <xdr:col>19</xdr:col>
      <xdr:colOff>523876</xdr:colOff>
      <xdr:row>41</xdr:row>
      <xdr:rowOff>152401</xdr:rowOff>
    </xdr:to>
    <xdr:sp macro="" textlink="">
      <xdr:nvSpPr>
        <xdr:cNvPr id="2" name="TextBox 1"/>
        <xdr:cNvSpPr txBox="1"/>
      </xdr:nvSpPr>
      <xdr:spPr>
        <a:xfrm>
          <a:off x="5762626" y="7334251"/>
          <a:ext cx="58864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Stipend</a:t>
          </a:r>
          <a:r>
            <a:rPr lang="en-US" sz="900" baseline="0"/>
            <a:t> reductions were taken from the 12 month 49% rate.  All other rates were based on the new 12 month 49% rate.</a:t>
          </a:r>
          <a:endParaRPr lang="en-US" sz="9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411480</xdr:colOff>
      <xdr:row>24</xdr:row>
      <xdr:rowOff>45720</xdr:rowOff>
    </xdr:from>
    <xdr:to>
      <xdr:col>21</xdr:col>
      <xdr:colOff>396240</xdr:colOff>
      <xdr:row>29</xdr:row>
      <xdr:rowOff>99060</xdr:rowOff>
    </xdr:to>
    <xdr:sp macro="" textlink="">
      <xdr:nvSpPr>
        <xdr:cNvPr id="2" name="TextBox 1"/>
        <xdr:cNvSpPr txBox="1"/>
      </xdr:nvSpPr>
      <xdr:spPr>
        <a:xfrm>
          <a:off x="8774430" y="4084320"/>
          <a:ext cx="2127885" cy="767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FY17 minimum stipend per semester - $2,776 ($5,552 per academic year)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 Does not meet minimum stipend</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Budget%205%20yr%20G.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 Information"/>
      <sheetName val="Award"/>
      <sheetName val="Justification"/>
      <sheetName val="Match"/>
      <sheetName val="GRA"/>
      <sheetName val="Compliance"/>
      <sheetName val="PI Time"/>
      <sheetName val="R&amp;R Yr 1"/>
      <sheetName val="R&amp;R Yr 2"/>
      <sheetName val="R&amp;R Yr 3"/>
      <sheetName val="R&amp;R Yr 4"/>
      <sheetName val="R&amp;R Yr 5"/>
      <sheetName val="R&amp;R Cummlative"/>
      <sheetName val="TR Data"/>
      <sheetName val="Sheet3"/>
      <sheetName val="TR"/>
      <sheetName val="GA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4">
          <cell r="A34" t="str">
            <v>FY 20</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insidestate.sdstate.edu/administration/grants-contracts/budgets/default.aspx" TargetMode="External"/><Relationship Id="rId2" Type="http://schemas.openxmlformats.org/officeDocument/2006/relationships/hyperlink" Target="https://insidestate.sdstate.edu/administration/grants-contracts/budgets/Budget%20Templates/Guide%20to%20Allowable%20Direct%20Costs%20Policy%20Rev%2011-13.pdf" TargetMode="External"/><Relationship Id="rId1" Type="http://schemas.openxmlformats.org/officeDocument/2006/relationships/hyperlink" Target="https://insidestate.sdstate.edu/administration/grants-contracts/budgets/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V100"/>
  <sheetViews>
    <sheetView tabSelected="1" zoomScaleNormal="100" workbookViewId="0">
      <selection activeCell="L15" sqref="L15"/>
    </sheetView>
  </sheetViews>
  <sheetFormatPr defaultRowHeight="15" x14ac:dyDescent="0.25"/>
  <cols>
    <col min="1" max="1" width="4.42578125" customWidth="1"/>
    <col min="2" max="2" width="3.85546875" customWidth="1"/>
    <col min="3" max="3" width="8.42578125" customWidth="1"/>
    <col min="4" max="4" width="26" customWidth="1"/>
    <col min="5" max="5" width="3.140625" customWidth="1"/>
    <col min="6" max="6" width="8.85546875" customWidth="1"/>
    <col min="7" max="7" width="3.42578125" customWidth="1"/>
    <col min="8" max="8" width="14.85546875" bestFit="1" customWidth="1"/>
    <col min="9" max="9" width="4.140625" customWidth="1"/>
    <col min="10" max="10" width="5.140625" customWidth="1"/>
    <col min="11" max="11" width="1.85546875" customWidth="1"/>
    <col min="12" max="12" width="8.7109375" customWidth="1"/>
    <col min="13" max="13" width="10" bestFit="1" customWidth="1"/>
    <col min="14" max="14" width="13.28515625" customWidth="1"/>
    <col min="15" max="15" width="8.7109375" customWidth="1"/>
    <col min="16" max="16" width="10" bestFit="1" customWidth="1"/>
    <col min="17" max="17" width="12.7109375" customWidth="1"/>
    <col min="18" max="18" width="8.7109375" customWidth="1"/>
    <col min="19" max="19" width="10.140625" customWidth="1"/>
    <col min="20" max="20" width="12.7109375" customWidth="1"/>
    <col min="21" max="21" width="8.7109375" hidden="1" customWidth="1"/>
    <col min="22" max="22" width="10.28515625" hidden="1" customWidth="1"/>
    <col min="23" max="23" width="12.7109375" hidden="1" customWidth="1"/>
    <col min="24" max="24" width="8.7109375" hidden="1" customWidth="1"/>
    <col min="25" max="25" width="10" hidden="1" customWidth="1"/>
    <col min="26" max="26" width="12.7109375" hidden="1" customWidth="1"/>
    <col min="27" max="27" width="12.7109375" customWidth="1"/>
    <col min="28" max="28" width="13.140625" customWidth="1"/>
    <col min="29" max="29" width="10.5703125" bestFit="1" customWidth="1"/>
    <col min="31" max="32" width="0" hidden="1" customWidth="1"/>
    <col min="33" max="33" width="10.5703125" bestFit="1" customWidth="1"/>
    <col min="34" max="36" width="11.5703125" bestFit="1" customWidth="1"/>
    <col min="37" max="38" width="11.5703125" hidden="1" customWidth="1"/>
    <col min="63" max="63" width="12.85546875" bestFit="1" customWidth="1"/>
  </cols>
  <sheetData>
    <row r="1" spans="1:74" ht="21.75" thickBot="1" x14ac:dyDescent="0.4">
      <c r="A1" s="341">
        <v>42971</v>
      </c>
      <c r="B1" s="342"/>
      <c r="C1" s="203" t="s">
        <v>271</v>
      </c>
      <c r="D1" s="340" t="s">
        <v>0</v>
      </c>
      <c r="E1" s="340"/>
      <c r="F1" s="340"/>
      <c r="G1" s="340"/>
      <c r="H1" s="340"/>
      <c r="I1" s="340"/>
      <c r="J1" s="340"/>
      <c r="K1" s="340"/>
      <c r="L1" s="340"/>
      <c r="M1" s="340"/>
      <c r="N1" s="340"/>
      <c r="O1" s="340"/>
      <c r="P1" s="340"/>
      <c r="Q1" s="340"/>
      <c r="R1" s="340"/>
      <c r="S1" s="340"/>
      <c r="T1" s="340"/>
      <c r="U1" s="340"/>
      <c r="V1" s="340"/>
      <c r="W1" s="340"/>
      <c r="X1" s="340"/>
      <c r="Y1" s="340"/>
      <c r="Z1" s="340"/>
      <c r="AA1" s="340"/>
      <c r="AM1" t="s">
        <v>80</v>
      </c>
    </row>
    <row r="2" spans="1:74" ht="24" customHeight="1" x14ac:dyDescent="0.25">
      <c r="A2" s="7" t="s">
        <v>84</v>
      </c>
      <c r="D2" s="349" t="s">
        <v>558</v>
      </c>
      <c r="E2" s="349"/>
      <c r="F2" s="349"/>
      <c r="G2" s="349"/>
      <c r="H2" s="349"/>
      <c r="I2" s="349"/>
      <c r="J2" s="349"/>
      <c r="K2" s="349"/>
      <c r="L2" s="349"/>
      <c r="M2" s="349"/>
      <c r="N2" s="349"/>
      <c r="O2" s="349"/>
      <c r="P2" s="349"/>
      <c r="Q2" s="349"/>
      <c r="S2" s="30" t="s">
        <v>81</v>
      </c>
      <c r="T2" s="349" t="s">
        <v>80</v>
      </c>
      <c r="U2" s="349"/>
      <c r="V2" s="349"/>
      <c r="W2" s="349"/>
      <c r="X2" s="349"/>
      <c r="Z2" s="30" t="s">
        <v>82</v>
      </c>
      <c r="AA2" s="59" t="s">
        <v>80</v>
      </c>
      <c r="AG2" t="s">
        <v>80</v>
      </c>
    </row>
    <row r="3" spans="1:74" s="10" customFormat="1" x14ac:dyDescent="0.25">
      <c r="A3" s="32"/>
      <c r="B3" s="10" t="s">
        <v>196</v>
      </c>
      <c r="D3" s="33" t="s">
        <v>197</v>
      </c>
      <c r="E3" s="33"/>
      <c r="F3" s="33" t="s">
        <v>198</v>
      </c>
      <c r="G3" s="33"/>
      <c r="H3" s="33"/>
      <c r="I3" s="33"/>
      <c r="J3" s="33"/>
      <c r="K3" s="33"/>
      <c r="L3" s="33"/>
      <c r="M3" s="1" t="s">
        <v>1</v>
      </c>
      <c r="N3" s="33"/>
      <c r="O3" s="33"/>
      <c r="P3" s="33"/>
      <c r="Q3" s="33"/>
      <c r="R3" s="34"/>
      <c r="S3" s="33"/>
      <c r="T3" s="33"/>
      <c r="U3" s="33"/>
      <c r="V3" s="33"/>
      <c r="W3" s="33"/>
      <c r="X3" s="33"/>
      <c r="Z3" s="34"/>
      <c r="AA3" s="35"/>
      <c r="AD3" s="10" t="s">
        <v>80</v>
      </c>
      <c r="AG3" s="10" t="s">
        <v>80</v>
      </c>
    </row>
    <row r="4" spans="1:74" ht="24.75" customHeight="1" x14ac:dyDescent="0.25">
      <c r="A4" s="7" t="s">
        <v>274</v>
      </c>
      <c r="E4" s="349" t="s">
        <v>80</v>
      </c>
      <c r="F4" s="349"/>
      <c r="G4" s="349"/>
      <c r="H4" s="349"/>
      <c r="I4" s="349"/>
      <c r="J4" s="349"/>
      <c r="K4" s="349"/>
      <c r="M4" s="31"/>
      <c r="N4" s="30" t="s">
        <v>95</v>
      </c>
      <c r="O4" s="54" t="s">
        <v>18</v>
      </c>
      <c r="P4" t="s">
        <v>556</v>
      </c>
      <c r="Q4" s="7" t="s">
        <v>83</v>
      </c>
      <c r="S4" s="54">
        <v>3</v>
      </c>
      <c r="V4" s="30" t="s">
        <v>2</v>
      </c>
      <c r="W4" s="60">
        <v>0.03</v>
      </c>
      <c r="Z4" s="201"/>
      <c r="AA4" s="202"/>
      <c r="AG4" s="182" t="s">
        <v>273</v>
      </c>
    </row>
    <row r="5" spans="1:74" x14ac:dyDescent="0.25">
      <c r="B5" s="1"/>
      <c r="L5" t="s">
        <v>194</v>
      </c>
      <c r="M5" t="s">
        <v>195</v>
      </c>
      <c r="O5" t="s">
        <v>194</v>
      </c>
      <c r="P5" t="s">
        <v>195</v>
      </c>
      <c r="R5" t="s">
        <v>194</v>
      </c>
      <c r="S5" t="s">
        <v>195</v>
      </c>
      <c r="U5" t="s">
        <v>194</v>
      </c>
      <c r="V5" t="s">
        <v>195</v>
      </c>
      <c r="X5" t="s">
        <v>194</v>
      </c>
      <c r="Y5" t="s">
        <v>195</v>
      </c>
      <c r="AG5" s="183" t="s">
        <v>272</v>
      </c>
    </row>
    <row r="6" spans="1:74" ht="15.75" thickBot="1" x14ac:dyDescent="0.3">
      <c r="L6" s="199"/>
      <c r="M6" s="199"/>
      <c r="O6" s="199"/>
      <c r="P6" s="199"/>
      <c r="R6" s="199"/>
      <c r="S6" s="199"/>
      <c r="U6" s="199"/>
      <c r="V6" s="199"/>
      <c r="X6" s="199"/>
      <c r="Y6" s="199"/>
      <c r="AG6" s="184"/>
    </row>
    <row r="7" spans="1:74" ht="16.5" thickTop="1" thickBot="1" x14ac:dyDescent="0.3">
      <c r="A7" t="s">
        <v>3</v>
      </c>
      <c r="B7" s="6" t="s">
        <v>275</v>
      </c>
      <c r="D7" s="6"/>
      <c r="L7" s="350" t="s">
        <v>8</v>
      </c>
      <c r="M7" s="351"/>
      <c r="N7" s="352"/>
      <c r="O7" s="350" t="s">
        <v>9</v>
      </c>
      <c r="P7" s="351"/>
      <c r="Q7" s="352"/>
      <c r="R7" s="350" t="s">
        <v>10</v>
      </c>
      <c r="S7" s="351"/>
      <c r="T7" s="352"/>
      <c r="U7" s="350" t="s">
        <v>11</v>
      </c>
      <c r="V7" s="351"/>
      <c r="W7" s="352"/>
      <c r="X7" s="350" t="s">
        <v>12</v>
      </c>
      <c r="Y7" s="351"/>
      <c r="Z7" s="352"/>
      <c r="AA7" s="125"/>
      <c r="AB7" s="346" t="s">
        <v>269</v>
      </c>
      <c r="AC7" s="347"/>
      <c r="AD7" s="347"/>
      <c r="AE7" s="347"/>
      <c r="AF7" s="348"/>
      <c r="AG7" s="185" t="s">
        <v>80</v>
      </c>
      <c r="AH7" s="346" t="s">
        <v>170</v>
      </c>
      <c r="AI7" s="347"/>
      <c r="AJ7" s="347"/>
      <c r="AK7" s="347"/>
      <c r="AL7" s="348"/>
      <c r="AR7" s="343" t="s">
        <v>150</v>
      </c>
      <c r="AS7" s="344"/>
      <c r="AT7" s="344"/>
      <c r="AU7" s="345"/>
    </row>
    <row r="8" spans="1:74" s="2" customFormat="1" ht="30.75" thickTop="1" x14ac:dyDescent="0.25">
      <c r="C8" s="2" t="s">
        <v>4</v>
      </c>
      <c r="D8" s="2" t="s">
        <v>5</v>
      </c>
      <c r="F8" s="3" t="s">
        <v>6</v>
      </c>
      <c r="H8" s="2" t="s">
        <v>7</v>
      </c>
      <c r="J8" s="4" t="s">
        <v>36</v>
      </c>
      <c r="L8" s="14" t="s">
        <v>85</v>
      </c>
      <c r="M8" s="139" t="s">
        <v>270</v>
      </c>
      <c r="N8" s="16" t="s">
        <v>13</v>
      </c>
      <c r="O8" s="14" t="s">
        <v>85</v>
      </c>
      <c r="P8" s="139" t="s">
        <v>270</v>
      </c>
      <c r="Q8" s="16" t="s">
        <v>13</v>
      </c>
      <c r="R8" s="14" t="s">
        <v>85</v>
      </c>
      <c r="S8" s="139" t="s">
        <v>270</v>
      </c>
      <c r="T8" s="16" t="s">
        <v>13</v>
      </c>
      <c r="U8" s="14" t="s">
        <v>85</v>
      </c>
      <c r="V8" s="139" t="s">
        <v>270</v>
      </c>
      <c r="W8" s="16" t="s">
        <v>13</v>
      </c>
      <c r="X8" s="14" t="s">
        <v>85</v>
      </c>
      <c r="Y8" s="139" t="s">
        <v>270</v>
      </c>
      <c r="Z8" s="16" t="s">
        <v>13</v>
      </c>
      <c r="AA8" s="14" t="s">
        <v>14</v>
      </c>
      <c r="AB8" s="128" t="s">
        <v>96</v>
      </c>
      <c r="AC8" s="15" t="s">
        <v>97</v>
      </c>
      <c r="AD8" s="15" t="s">
        <v>98</v>
      </c>
      <c r="AE8" s="15" t="s">
        <v>99</v>
      </c>
      <c r="AF8" s="129" t="s">
        <v>100</v>
      </c>
      <c r="AG8" s="186" t="s">
        <v>266</v>
      </c>
      <c r="AH8" s="128" t="s">
        <v>96</v>
      </c>
      <c r="AI8" s="15" t="s">
        <v>97</v>
      </c>
      <c r="AJ8" s="15" t="s">
        <v>98</v>
      </c>
      <c r="AK8" s="15" t="s">
        <v>99</v>
      </c>
      <c r="AL8" s="129" t="s">
        <v>100</v>
      </c>
      <c r="AR8" s="167" t="s">
        <v>151</v>
      </c>
      <c r="AS8" s="168" t="s">
        <v>103</v>
      </c>
      <c r="AT8" s="168" t="s">
        <v>152</v>
      </c>
      <c r="AU8" s="169" t="s">
        <v>100</v>
      </c>
      <c r="BK8" s="153" t="s">
        <v>29</v>
      </c>
      <c r="BL8" s="154" t="s">
        <v>33</v>
      </c>
      <c r="BM8" s="154" t="s">
        <v>30</v>
      </c>
      <c r="BN8" s="154" t="s">
        <v>31</v>
      </c>
      <c r="BO8" s="154" t="s">
        <v>32</v>
      </c>
      <c r="BP8" s="154" t="s">
        <v>35</v>
      </c>
      <c r="BQ8" s="154" t="s">
        <v>93</v>
      </c>
      <c r="BR8" s="154"/>
      <c r="BS8" s="154" t="s">
        <v>32</v>
      </c>
      <c r="BT8" s="155" t="s">
        <v>267</v>
      </c>
    </row>
    <row r="9" spans="1:74" x14ac:dyDescent="0.25">
      <c r="B9">
        <v>1</v>
      </c>
      <c r="C9" s="109"/>
      <c r="D9" s="108"/>
      <c r="E9" s="12"/>
      <c r="F9" s="54"/>
      <c r="G9" s="12"/>
      <c r="H9" s="55"/>
      <c r="I9" s="12"/>
      <c r="J9" s="89">
        <v>9</v>
      </c>
      <c r="K9" s="13"/>
      <c r="L9" s="56">
        <v>0</v>
      </c>
      <c r="M9" s="57">
        <v>0</v>
      </c>
      <c r="N9" s="36">
        <f>+ROUND($H9*L9+(($H9/$J9)*M9),0)</f>
        <v>0</v>
      </c>
      <c r="O9" s="56">
        <f>+IF($S$4&gt;1,L9," ")</f>
        <v>0</v>
      </c>
      <c r="P9" s="58">
        <f>+IF($S$4&gt;1,M9," ")</f>
        <v>0</v>
      </c>
      <c r="Q9" s="36">
        <f>IF($S$4&gt;1,ROUND((AR9*O9)+((AR9/J9)*P9),0)," ")</f>
        <v>0</v>
      </c>
      <c r="R9" s="56">
        <f>+IF($S$4&gt;2,O9," ")</f>
        <v>0</v>
      </c>
      <c r="S9" s="58">
        <f>+IF($S$4&gt;2,P9," ")</f>
        <v>0</v>
      </c>
      <c r="T9" s="36">
        <f>+IF($S$4&gt;2,ROUND((AS9*R9)+((AS9/J9)*S9),0)," ")</f>
        <v>0</v>
      </c>
      <c r="U9" s="56" t="str">
        <f>+IF($S$4&gt;3,R9," ")</f>
        <v xml:space="preserve"> </v>
      </c>
      <c r="V9" s="58" t="str">
        <f>+IF($S$4&gt;3,S9," ")</f>
        <v xml:space="preserve"> </v>
      </c>
      <c r="W9" s="36" t="str">
        <f>+IF($S$4&gt;3,ROUND((AT9*U9)+((AT9/J9)*V9),0)," ")</f>
        <v xml:space="preserve"> </v>
      </c>
      <c r="X9" s="56" t="str">
        <f>+IF($S$4&gt;4,U9," ")</f>
        <v xml:space="preserve"> </v>
      </c>
      <c r="Y9" s="58" t="str">
        <f>+IF($S$4&gt;4,V9," ")</f>
        <v xml:space="preserve"> </v>
      </c>
      <c r="Z9" s="36" t="str">
        <f>+IF($S$4&gt;4,ROUND((AU9*X9)+((AU9/J9)*Y9),0)," ")</f>
        <v xml:space="preserve"> </v>
      </c>
      <c r="AA9" s="126">
        <f>ROUND(SUM(N9,Q9,T9,W9,Z9),0)</f>
        <v>0</v>
      </c>
      <c r="AB9" s="130">
        <f>+$J9*L9</f>
        <v>0</v>
      </c>
      <c r="AC9" s="131">
        <f>IF($S$4&gt;1,+$J9*O9," ")</f>
        <v>0</v>
      </c>
      <c r="AD9" s="131">
        <f>+IF($S$4&gt;2,$J9*R9," ")</f>
        <v>0</v>
      </c>
      <c r="AE9" s="131" t="str">
        <f>+IF($S$4&gt;3,$J9*U9," ")</f>
        <v xml:space="preserve"> </v>
      </c>
      <c r="AF9" s="132" t="str">
        <f>+IF($S$4&gt;4,$J9*X9," ")</f>
        <v xml:space="preserve"> </v>
      </c>
      <c r="AG9" s="185">
        <f>+((AB9+M9)*173)/+HLOOKUP($J9,'PI Time'!$B$5:$D$6,2,FALSE)</f>
        <v>0</v>
      </c>
      <c r="AH9" s="136">
        <f>+ROUND((N9*0.15)+(L9*$L$39),0)</f>
        <v>0</v>
      </c>
      <c r="AI9" s="137">
        <f>+IF($S$4&gt;1,ROUND((($L$39*1.05)*O9)+(Q9*0.15),0)," ")</f>
        <v>0</v>
      </c>
      <c r="AJ9" s="137">
        <f>IF($S$4&gt;2,ROUND((($L$39*1.1)*R9)+(T9*0.15),0)," ")</f>
        <v>0</v>
      </c>
      <c r="AK9" s="137" t="str">
        <f>IF($S$4&gt;3,ROUND((($L$39*1.15)*U9)+(W9*0.15),0)," ")</f>
        <v xml:space="preserve"> </v>
      </c>
      <c r="AL9" s="138" t="str">
        <f>+IF($S$4&gt;4,ROUND((($L$39*1.2)*X9)+(Z9*0.15),0)," ")</f>
        <v xml:space="preserve"> </v>
      </c>
      <c r="AR9" s="170">
        <f t="shared" ref="AR9:AR24" si="0">+IF($S$4&gt;1,H9*(1+$W$4),0)</f>
        <v>0</v>
      </c>
      <c r="AS9" s="171">
        <f t="shared" ref="AS9:AS24" si="1">+IF($S$4&gt;2,ROUND(AR9*(1+$W$4),0),0)</f>
        <v>0</v>
      </c>
      <c r="AT9" s="171">
        <f t="shared" ref="AT9:AT24" si="2">+IF($S$4&gt;3,ROUND(AS9*(1+$W$4),0),0)</f>
        <v>0</v>
      </c>
      <c r="AU9" s="172">
        <f t="shared" ref="AU9:AU24" si="3">+IF($S$4&gt;4,ROUND(AT9*(1+$W$4),0),0)</f>
        <v>0</v>
      </c>
      <c r="BK9" s="156">
        <v>9</v>
      </c>
      <c r="BL9" s="157">
        <v>1</v>
      </c>
      <c r="BM9" s="157" t="s">
        <v>16</v>
      </c>
      <c r="BN9" s="157">
        <v>8619</v>
      </c>
      <c r="BO9" s="157">
        <v>3000</v>
      </c>
      <c r="BP9" s="158">
        <v>0.15</v>
      </c>
      <c r="BQ9" s="157">
        <v>0</v>
      </c>
      <c r="BR9" s="157"/>
      <c r="BS9" s="157" t="s">
        <v>46</v>
      </c>
      <c r="BT9" s="165"/>
      <c r="BU9" t="s">
        <v>80</v>
      </c>
      <c r="BV9" t="s">
        <v>449</v>
      </c>
    </row>
    <row r="10" spans="1:74" x14ac:dyDescent="0.25">
      <c r="B10">
        <v>2</v>
      </c>
      <c r="C10" s="109"/>
      <c r="D10" s="108"/>
      <c r="E10" s="12"/>
      <c r="F10" s="54"/>
      <c r="G10" s="12"/>
      <c r="H10" s="55"/>
      <c r="I10" s="12"/>
      <c r="J10" s="89">
        <v>9</v>
      </c>
      <c r="K10" s="13"/>
      <c r="L10" s="56">
        <v>0</v>
      </c>
      <c r="M10" s="57"/>
      <c r="N10" s="36">
        <f t="shared" ref="N10:N24" si="4">+ROUND($H10*L10+(($H10/$J10)*M10),0)</f>
        <v>0</v>
      </c>
      <c r="O10" s="56">
        <f t="shared" ref="O10:O12" si="5">+IF($S$4&gt;1,L10," ")</f>
        <v>0</v>
      </c>
      <c r="P10" s="58">
        <f t="shared" ref="P10:P24" si="6">+IF($S$4&gt;1,M10," ")</f>
        <v>0</v>
      </c>
      <c r="Q10" s="36">
        <f t="shared" ref="Q10:Q24" si="7">IF($S$4&gt;1,ROUND((AR10*O10)+((AR10/J10)*P10),0)," ")</f>
        <v>0</v>
      </c>
      <c r="R10" s="56">
        <f t="shared" ref="R10:R12" si="8">+IF($S$4&gt;2,O10," ")</f>
        <v>0</v>
      </c>
      <c r="S10" s="58">
        <f t="shared" ref="S10:S24" si="9">+IF($S$4&gt;2,P10," ")</f>
        <v>0</v>
      </c>
      <c r="T10" s="36">
        <f t="shared" ref="T10:T24" si="10">+IF($S$4&gt;2,ROUND((AS10*R10)+((AS10/J10)*S10),0)," ")</f>
        <v>0</v>
      </c>
      <c r="U10" s="56" t="str">
        <f>+IF($S$4&gt;3,R10," ")</f>
        <v xml:space="preserve"> </v>
      </c>
      <c r="V10" s="58" t="str">
        <f t="shared" ref="V10:V24" si="11">+IF($S$4&gt;3,S10," ")</f>
        <v xml:space="preserve"> </v>
      </c>
      <c r="W10" s="36" t="str">
        <f t="shared" ref="W10:W24" si="12">+IF($S$4&gt;3,ROUND((AT10*U10)+((AT10/J10)*V10),0)," ")</f>
        <v xml:space="preserve"> </v>
      </c>
      <c r="X10" s="56" t="str">
        <f t="shared" ref="X10:X12" si="13">+IF($S$4&gt;4,U10," ")</f>
        <v xml:space="preserve"> </v>
      </c>
      <c r="Y10" s="58" t="str">
        <f t="shared" ref="Y10:Y12" si="14">+IF($S$4&gt;4,V10," ")</f>
        <v xml:space="preserve"> </v>
      </c>
      <c r="Z10" s="36" t="str">
        <f t="shared" ref="Z10:Z24" si="15">+IF($S$4&gt;4,ROUND((AU10*X10)+((AU10/J10)*Y10),0)," ")</f>
        <v xml:space="preserve"> </v>
      </c>
      <c r="AA10" s="126">
        <f t="shared" ref="AA10:AA24" si="16">ROUND(SUM(N10,Q10,T10,W10,Z10),0)</f>
        <v>0</v>
      </c>
      <c r="AB10" s="130">
        <f t="shared" ref="AB10:AB24" si="17">+$J10*L10</f>
        <v>0</v>
      </c>
      <c r="AC10" s="131">
        <f t="shared" ref="AC10:AC24" si="18">IF($S$4&gt;1,+$J10*O10," ")</f>
        <v>0</v>
      </c>
      <c r="AD10" s="131">
        <f t="shared" ref="AD10:AD24" si="19">+IF($S$4&gt;2,$J10*R10," ")</f>
        <v>0</v>
      </c>
      <c r="AE10" s="131" t="str">
        <f t="shared" ref="AE10:AE24" si="20">+IF($S$4&gt;3,$J10*U10," ")</f>
        <v xml:space="preserve"> </v>
      </c>
      <c r="AF10" s="132" t="str">
        <f t="shared" ref="AF10:AF24" si="21">+IF($S$4&gt;4,$J10*X10," ")</f>
        <v xml:space="preserve"> </v>
      </c>
      <c r="AG10" s="185">
        <f>+((AB10+M10)*173)/+HLOOKUP($J10,'PI Time'!$B$5:$D$6,2,FALSE)</f>
        <v>0</v>
      </c>
      <c r="AH10" s="136">
        <f t="shared" ref="AH10:AH24" si="22">+ROUND((N10*0.15)+(L10*$L$39),0)</f>
        <v>0</v>
      </c>
      <c r="AI10" s="137">
        <f t="shared" ref="AI10:AI24" si="23">+IF($S$4&gt;1,ROUND((($L$39*1.05)*O10)+(Q10*0.15),0)," ")</f>
        <v>0</v>
      </c>
      <c r="AJ10" s="137">
        <f t="shared" ref="AJ10:AJ24" si="24">IF($S$4&gt;2,ROUND((($L$39*1.1)*R10)+(T10*0.15),0)," ")</f>
        <v>0</v>
      </c>
      <c r="AK10" s="137" t="str">
        <f t="shared" ref="AK10:AK24" si="25">IF($S$4&gt;3,ROUND((($L$39*1.15)*U10)+(W10*0.15),0)," ")</f>
        <v xml:space="preserve"> </v>
      </c>
      <c r="AL10" s="138" t="str">
        <f t="shared" ref="AL10:AL24" si="26">+IF($S$4&gt;4,ROUND((($L$39*1.2)*X10)+(Z10*0.15),0)," ")</f>
        <v xml:space="preserve"> </v>
      </c>
      <c r="AR10" s="170">
        <f t="shared" si="0"/>
        <v>0</v>
      </c>
      <c r="AS10" s="171">
        <f t="shared" si="1"/>
        <v>0</v>
      </c>
      <c r="AT10" s="171">
        <f t="shared" si="2"/>
        <v>0</v>
      </c>
      <c r="AU10" s="172">
        <f t="shared" si="3"/>
        <v>0</v>
      </c>
      <c r="BK10" s="156">
        <v>10</v>
      </c>
      <c r="BL10" s="157">
        <v>2</v>
      </c>
      <c r="BM10" s="157" t="s">
        <v>263</v>
      </c>
      <c r="BN10" s="157">
        <v>8622</v>
      </c>
      <c r="BO10" s="157">
        <f t="shared" ref="BO10:BO24" si="27">+BO9+200</f>
        <v>3200</v>
      </c>
      <c r="BP10" s="158">
        <v>0.01</v>
      </c>
      <c r="BQ10" s="157">
        <v>1</v>
      </c>
      <c r="BR10" s="157"/>
      <c r="BS10" s="157" t="s">
        <v>47</v>
      </c>
      <c r="BT10" s="166">
        <v>0.1</v>
      </c>
      <c r="BU10" s="198">
        <v>1.05</v>
      </c>
      <c r="BV10" t="s">
        <v>450</v>
      </c>
    </row>
    <row r="11" spans="1:74" x14ac:dyDescent="0.25">
      <c r="B11">
        <v>3</v>
      </c>
      <c r="C11" s="109"/>
      <c r="D11" s="108"/>
      <c r="E11" s="12"/>
      <c r="F11" s="54"/>
      <c r="G11" s="12"/>
      <c r="H11" s="55"/>
      <c r="I11" s="12"/>
      <c r="J11" s="89">
        <v>9</v>
      </c>
      <c r="K11" s="13"/>
      <c r="L11" s="56">
        <v>0</v>
      </c>
      <c r="M11" s="57"/>
      <c r="N11" s="36">
        <f t="shared" si="4"/>
        <v>0</v>
      </c>
      <c r="O11" s="56">
        <f t="shared" si="5"/>
        <v>0</v>
      </c>
      <c r="P11" s="58">
        <f t="shared" si="6"/>
        <v>0</v>
      </c>
      <c r="Q11" s="36">
        <f t="shared" si="7"/>
        <v>0</v>
      </c>
      <c r="R11" s="56">
        <f t="shared" si="8"/>
        <v>0</v>
      </c>
      <c r="S11" s="58">
        <f t="shared" si="9"/>
        <v>0</v>
      </c>
      <c r="T11" s="36">
        <f t="shared" si="10"/>
        <v>0</v>
      </c>
      <c r="U11" s="56" t="str">
        <f t="shared" ref="U11:U12" si="28">+IF($S$4&gt;3,R11," ")</f>
        <v xml:space="preserve"> </v>
      </c>
      <c r="V11" s="58" t="str">
        <f t="shared" si="11"/>
        <v xml:space="preserve"> </v>
      </c>
      <c r="W11" s="36" t="str">
        <f t="shared" si="12"/>
        <v xml:space="preserve"> </v>
      </c>
      <c r="X11" s="56" t="str">
        <f t="shared" si="13"/>
        <v xml:space="preserve"> </v>
      </c>
      <c r="Y11" s="58" t="str">
        <f t="shared" si="14"/>
        <v xml:space="preserve"> </v>
      </c>
      <c r="Z11" s="36" t="str">
        <f t="shared" si="15"/>
        <v xml:space="preserve"> </v>
      </c>
      <c r="AA11" s="126">
        <f t="shared" si="16"/>
        <v>0</v>
      </c>
      <c r="AB11" s="130">
        <f t="shared" si="17"/>
        <v>0</v>
      </c>
      <c r="AC11" s="131">
        <f t="shared" si="18"/>
        <v>0</v>
      </c>
      <c r="AD11" s="131">
        <f t="shared" si="19"/>
        <v>0</v>
      </c>
      <c r="AE11" s="131" t="str">
        <f t="shared" si="20"/>
        <v xml:space="preserve"> </v>
      </c>
      <c r="AF11" s="132" t="str">
        <f t="shared" si="21"/>
        <v xml:space="preserve"> </v>
      </c>
      <c r="AG11" s="185">
        <f>+((AB11+M11)*173)/+HLOOKUP($J11,'PI Time'!$B$5:$D$6,2,FALSE)</f>
        <v>0</v>
      </c>
      <c r="AH11" s="136">
        <f t="shared" si="22"/>
        <v>0</v>
      </c>
      <c r="AI11" s="137">
        <f t="shared" si="23"/>
        <v>0</v>
      </c>
      <c r="AJ11" s="137">
        <f t="shared" si="24"/>
        <v>0</v>
      </c>
      <c r="AK11" s="137" t="str">
        <f t="shared" si="25"/>
        <v xml:space="preserve"> </v>
      </c>
      <c r="AL11" s="138" t="str">
        <f t="shared" si="26"/>
        <v xml:space="preserve"> </v>
      </c>
      <c r="AR11" s="170">
        <f t="shared" si="0"/>
        <v>0</v>
      </c>
      <c r="AS11" s="171">
        <f t="shared" si="1"/>
        <v>0</v>
      </c>
      <c r="AT11" s="171">
        <f t="shared" si="2"/>
        <v>0</v>
      </c>
      <c r="AU11" s="172">
        <f t="shared" si="3"/>
        <v>0</v>
      </c>
      <c r="BK11" s="156">
        <v>12</v>
      </c>
      <c r="BL11" s="157">
        <v>3</v>
      </c>
      <c r="BM11" s="157" t="s">
        <v>264</v>
      </c>
      <c r="BN11" s="157">
        <v>8387</v>
      </c>
      <c r="BO11" s="157">
        <f t="shared" si="27"/>
        <v>3400</v>
      </c>
      <c r="BP11" s="157"/>
      <c r="BQ11" s="157">
        <v>2</v>
      </c>
      <c r="BR11" s="157"/>
      <c r="BS11" s="157"/>
      <c r="BT11" s="164">
        <v>0.2</v>
      </c>
      <c r="BU11">
        <v>1.1000000000000001</v>
      </c>
      <c r="BV11" t="s">
        <v>448</v>
      </c>
    </row>
    <row r="12" spans="1:74" ht="15" customHeight="1" x14ac:dyDescent="0.25">
      <c r="B12">
        <v>4</v>
      </c>
      <c r="C12" s="109"/>
      <c r="D12" s="108"/>
      <c r="E12" s="12"/>
      <c r="F12" s="54"/>
      <c r="G12" s="12"/>
      <c r="H12" s="55"/>
      <c r="I12" s="12"/>
      <c r="J12" s="89">
        <v>10</v>
      </c>
      <c r="K12" s="13"/>
      <c r="L12" s="56">
        <v>0</v>
      </c>
      <c r="M12" s="57"/>
      <c r="N12" s="36">
        <f t="shared" si="4"/>
        <v>0</v>
      </c>
      <c r="O12" s="56">
        <f t="shared" si="5"/>
        <v>0</v>
      </c>
      <c r="P12" s="58">
        <f t="shared" si="6"/>
        <v>0</v>
      </c>
      <c r="Q12" s="36">
        <f t="shared" si="7"/>
        <v>0</v>
      </c>
      <c r="R12" s="56">
        <f t="shared" si="8"/>
        <v>0</v>
      </c>
      <c r="S12" s="58">
        <f t="shared" si="9"/>
        <v>0</v>
      </c>
      <c r="T12" s="36">
        <f t="shared" si="10"/>
        <v>0</v>
      </c>
      <c r="U12" s="56" t="str">
        <f t="shared" si="28"/>
        <v xml:space="preserve"> </v>
      </c>
      <c r="V12" s="58" t="str">
        <f t="shared" si="11"/>
        <v xml:space="preserve"> </v>
      </c>
      <c r="W12" s="36" t="str">
        <f t="shared" si="12"/>
        <v xml:space="preserve"> </v>
      </c>
      <c r="X12" s="56" t="str">
        <f t="shared" si="13"/>
        <v xml:space="preserve"> </v>
      </c>
      <c r="Y12" s="58" t="str">
        <f t="shared" si="14"/>
        <v xml:space="preserve"> </v>
      </c>
      <c r="Z12" s="36" t="str">
        <f t="shared" si="15"/>
        <v xml:space="preserve"> </v>
      </c>
      <c r="AA12" s="126">
        <f t="shared" si="16"/>
        <v>0</v>
      </c>
      <c r="AB12" s="130">
        <f t="shared" si="17"/>
        <v>0</v>
      </c>
      <c r="AC12" s="131">
        <f t="shared" si="18"/>
        <v>0</v>
      </c>
      <c r="AD12" s="131">
        <f t="shared" si="19"/>
        <v>0</v>
      </c>
      <c r="AE12" s="131" t="str">
        <f t="shared" si="20"/>
        <v xml:space="preserve"> </v>
      </c>
      <c r="AF12" s="132" t="str">
        <f t="shared" si="21"/>
        <v xml:space="preserve"> </v>
      </c>
      <c r="AG12" s="185">
        <f>+((AB12+M12)*173)/+HLOOKUP($J12,'PI Time'!$B$5:$D$6,2,FALSE)</f>
        <v>0</v>
      </c>
      <c r="AH12" s="136">
        <f t="shared" si="22"/>
        <v>0</v>
      </c>
      <c r="AI12" s="137">
        <f t="shared" si="23"/>
        <v>0</v>
      </c>
      <c r="AJ12" s="137">
        <f t="shared" si="24"/>
        <v>0</v>
      </c>
      <c r="AK12" s="137" t="str">
        <f t="shared" si="25"/>
        <v xml:space="preserve"> </v>
      </c>
      <c r="AL12" s="138" t="str">
        <f t="shared" si="26"/>
        <v xml:space="preserve"> </v>
      </c>
      <c r="AR12" s="170">
        <f t="shared" si="0"/>
        <v>0</v>
      </c>
      <c r="AS12" s="171">
        <f t="shared" si="1"/>
        <v>0</v>
      </c>
      <c r="AT12" s="171">
        <f t="shared" si="2"/>
        <v>0</v>
      </c>
      <c r="AU12" s="172">
        <f t="shared" si="3"/>
        <v>0</v>
      </c>
      <c r="BK12" s="156"/>
      <c r="BL12" s="157">
        <v>4</v>
      </c>
      <c r="BM12" s="157" t="s">
        <v>17</v>
      </c>
      <c r="BN12" s="157">
        <v>8470</v>
      </c>
      <c r="BO12" s="157">
        <f t="shared" si="27"/>
        <v>3600</v>
      </c>
      <c r="BP12" s="157"/>
      <c r="BQ12" s="157">
        <v>3</v>
      </c>
      <c r="BR12" s="157"/>
      <c r="BS12" s="157"/>
      <c r="BT12" s="164">
        <v>0.22</v>
      </c>
      <c r="BU12">
        <v>1.1499999999999999</v>
      </c>
      <c r="BV12" t="s">
        <v>451</v>
      </c>
    </row>
    <row r="13" spans="1:74" ht="15" customHeight="1" x14ac:dyDescent="0.25">
      <c r="B13">
        <v>5</v>
      </c>
      <c r="C13" s="109"/>
      <c r="D13" s="108"/>
      <c r="E13" s="12"/>
      <c r="F13" s="54"/>
      <c r="G13" s="12"/>
      <c r="H13" s="55"/>
      <c r="I13" s="12"/>
      <c r="J13" s="89">
        <v>9</v>
      </c>
      <c r="K13" s="13"/>
      <c r="L13" s="56">
        <v>0</v>
      </c>
      <c r="M13" s="57"/>
      <c r="N13" s="36">
        <f t="shared" si="4"/>
        <v>0</v>
      </c>
      <c r="O13" s="56">
        <f t="shared" ref="O13:O24" si="29">+IF($S$4&gt;1,L13," ")</f>
        <v>0</v>
      </c>
      <c r="P13" s="58">
        <f t="shared" si="6"/>
        <v>0</v>
      </c>
      <c r="Q13" s="36">
        <f t="shared" si="7"/>
        <v>0</v>
      </c>
      <c r="R13" s="56">
        <f t="shared" ref="R13:R24" si="30">+IF($S$4&gt;2,O13," ")</f>
        <v>0</v>
      </c>
      <c r="S13" s="58">
        <f t="shared" si="9"/>
        <v>0</v>
      </c>
      <c r="T13" s="36">
        <f t="shared" si="10"/>
        <v>0</v>
      </c>
      <c r="U13" s="56" t="str">
        <f t="shared" ref="U13:U24" si="31">+IF($S$4&gt;3,R13," ")</f>
        <v xml:space="preserve"> </v>
      </c>
      <c r="V13" s="58" t="str">
        <f t="shared" si="11"/>
        <v xml:space="preserve"> </v>
      </c>
      <c r="W13" s="36" t="str">
        <f t="shared" si="12"/>
        <v xml:space="preserve"> </v>
      </c>
      <c r="X13" s="56" t="str">
        <f t="shared" ref="X13:X24" si="32">+IF($S$4&gt;4,U13," ")</f>
        <v xml:space="preserve"> </v>
      </c>
      <c r="Y13" s="58" t="str">
        <f t="shared" ref="Y13:Y24" si="33">+IF($S$4&gt;4,V13," ")</f>
        <v xml:space="preserve"> </v>
      </c>
      <c r="Z13" s="36" t="str">
        <f t="shared" si="15"/>
        <v xml:space="preserve"> </v>
      </c>
      <c r="AA13" s="126">
        <f t="shared" si="16"/>
        <v>0</v>
      </c>
      <c r="AB13" s="130">
        <f t="shared" si="17"/>
        <v>0</v>
      </c>
      <c r="AC13" s="131">
        <f t="shared" si="18"/>
        <v>0</v>
      </c>
      <c r="AD13" s="131">
        <f t="shared" si="19"/>
        <v>0</v>
      </c>
      <c r="AE13" s="131" t="str">
        <f t="shared" si="20"/>
        <v xml:space="preserve"> </v>
      </c>
      <c r="AF13" s="132" t="str">
        <f t="shared" si="21"/>
        <v xml:space="preserve"> </v>
      </c>
      <c r="AG13" s="185">
        <f>+((AB13+M13)*173)/+HLOOKUP($J13,'PI Time'!$B$5:$D$6,2,FALSE)</f>
        <v>0</v>
      </c>
      <c r="AH13" s="136">
        <f t="shared" si="22"/>
        <v>0</v>
      </c>
      <c r="AI13" s="137">
        <f t="shared" si="23"/>
        <v>0</v>
      </c>
      <c r="AJ13" s="137">
        <f t="shared" si="24"/>
        <v>0</v>
      </c>
      <c r="AK13" s="137" t="str">
        <f t="shared" si="25"/>
        <v xml:space="preserve"> </v>
      </c>
      <c r="AL13" s="138" t="str">
        <f t="shared" si="26"/>
        <v xml:space="preserve"> </v>
      </c>
      <c r="AR13" s="170">
        <f t="shared" si="0"/>
        <v>0</v>
      </c>
      <c r="AS13" s="171">
        <f t="shared" si="1"/>
        <v>0</v>
      </c>
      <c r="AT13" s="171">
        <f t="shared" si="2"/>
        <v>0</v>
      </c>
      <c r="AU13" s="172">
        <f t="shared" si="3"/>
        <v>0</v>
      </c>
      <c r="BK13" s="156"/>
      <c r="BL13" s="157">
        <v>5</v>
      </c>
      <c r="BM13" s="157" t="s">
        <v>18</v>
      </c>
      <c r="BN13" s="157">
        <f t="shared" ref="BN13:BN24" si="34">+ROUND(BN12*1.05,0)</f>
        <v>8894</v>
      </c>
      <c r="BO13" s="157">
        <f t="shared" si="27"/>
        <v>3800</v>
      </c>
      <c r="BP13" s="157"/>
      <c r="BQ13" s="157">
        <v>4</v>
      </c>
      <c r="BR13" s="157"/>
      <c r="BS13" s="157"/>
      <c r="BT13" s="164">
        <v>0.3</v>
      </c>
      <c r="BU13">
        <v>1.2</v>
      </c>
    </row>
    <row r="14" spans="1:74" ht="15" customHeight="1" x14ac:dyDescent="0.25">
      <c r="B14">
        <v>6</v>
      </c>
      <c r="C14" s="109"/>
      <c r="D14" s="108"/>
      <c r="E14" s="12"/>
      <c r="F14" s="54"/>
      <c r="G14" s="12"/>
      <c r="H14" s="55"/>
      <c r="I14" s="12"/>
      <c r="J14" s="89">
        <v>12</v>
      </c>
      <c r="K14" s="13"/>
      <c r="L14" s="56">
        <v>0</v>
      </c>
      <c r="M14" s="57"/>
      <c r="N14" s="36">
        <f t="shared" si="4"/>
        <v>0</v>
      </c>
      <c r="O14" s="56">
        <f t="shared" si="29"/>
        <v>0</v>
      </c>
      <c r="P14" s="58">
        <f t="shared" si="6"/>
        <v>0</v>
      </c>
      <c r="Q14" s="36">
        <f t="shared" si="7"/>
        <v>0</v>
      </c>
      <c r="R14" s="56">
        <f t="shared" si="30"/>
        <v>0</v>
      </c>
      <c r="S14" s="58">
        <f t="shared" si="9"/>
        <v>0</v>
      </c>
      <c r="T14" s="36">
        <f t="shared" si="10"/>
        <v>0</v>
      </c>
      <c r="U14" s="56" t="str">
        <f t="shared" si="31"/>
        <v xml:space="preserve"> </v>
      </c>
      <c r="V14" s="58" t="str">
        <f t="shared" si="11"/>
        <v xml:space="preserve"> </v>
      </c>
      <c r="W14" s="36" t="str">
        <f t="shared" si="12"/>
        <v xml:space="preserve"> </v>
      </c>
      <c r="X14" s="56" t="str">
        <f t="shared" si="32"/>
        <v xml:space="preserve"> </v>
      </c>
      <c r="Y14" s="58" t="str">
        <f t="shared" si="33"/>
        <v xml:space="preserve"> </v>
      </c>
      <c r="Z14" s="36" t="str">
        <f t="shared" si="15"/>
        <v xml:space="preserve"> </v>
      </c>
      <c r="AA14" s="126">
        <f t="shared" si="16"/>
        <v>0</v>
      </c>
      <c r="AB14" s="130">
        <f t="shared" si="17"/>
        <v>0</v>
      </c>
      <c r="AC14" s="131">
        <f t="shared" si="18"/>
        <v>0</v>
      </c>
      <c r="AD14" s="131">
        <f t="shared" si="19"/>
        <v>0</v>
      </c>
      <c r="AE14" s="131" t="str">
        <f t="shared" si="20"/>
        <v xml:space="preserve"> </v>
      </c>
      <c r="AF14" s="132" t="str">
        <f t="shared" si="21"/>
        <v xml:space="preserve"> </v>
      </c>
      <c r="AG14" s="185">
        <f>+((AB14+M14)*173)/+HLOOKUP($J14,'PI Time'!$B$5:$D$6,2,FALSE)</f>
        <v>0</v>
      </c>
      <c r="AH14" s="136">
        <f t="shared" si="22"/>
        <v>0</v>
      </c>
      <c r="AI14" s="137">
        <f t="shared" si="23"/>
        <v>0</v>
      </c>
      <c r="AJ14" s="137">
        <f t="shared" si="24"/>
        <v>0</v>
      </c>
      <c r="AK14" s="137" t="str">
        <f t="shared" si="25"/>
        <v xml:space="preserve"> </v>
      </c>
      <c r="AL14" s="138" t="str">
        <f t="shared" si="26"/>
        <v xml:space="preserve"> </v>
      </c>
      <c r="AR14" s="170">
        <f t="shared" si="0"/>
        <v>0</v>
      </c>
      <c r="AS14" s="171">
        <f t="shared" si="1"/>
        <v>0</v>
      </c>
      <c r="AT14" s="171">
        <f t="shared" si="2"/>
        <v>0</v>
      </c>
      <c r="AU14" s="172">
        <f t="shared" si="3"/>
        <v>0</v>
      </c>
      <c r="BK14" s="156"/>
      <c r="BL14" s="157"/>
      <c r="BM14" s="157" t="s">
        <v>19</v>
      </c>
      <c r="BN14" s="157">
        <f t="shared" si="34"/>
        <v>9339</v>
      </c>
      <c r="BO14" s="157">
        <f t="shared" si="27"/>
        <v>4000</v>
      </c>
      <c r="BP14" s="157"/>
      <c r="BQ14" s="157">
        <v>5</v>
      </c>
      <c r="BR14" s="157"/>
      <c r="BS14" s="157"/>
      <c r="BT14" s="159"/>
    </row>
    <row r="15" spans="1:74" ht="15" customHeight="1" x14ac:dyDescent="0.25">
      <c r="B15">
        <v>7</v>
      </c>
      <c r="C15" s="109"/>
      <c r="D15" s="108"/>
      <c r="E15" s="12"/>
      <c r="F15" s="54"/>
      <c r="G15" s="12"/>
      <c r="H15" s="55"/>
      <c r="I15" s="12"/>
      <c r="J15" s="89">
        <v>10</v>
      </c>
      <c r="K15" s="13"/>
      <c r="L15" s="56">
        <v>0</v>
      </c>
      <c r="M15" s="57"/>
      <c r="N15" s="36">
        <f t="shared" si="4"/>
        <v>0</v>
      </c>
      <c r="O15" s="56">
        <f t="shared" si="29"/>
        <v>0</v>
      </c>
      <c r="P15" s="58">
        <f t="shared" si="6"/>
        <v>0</v>
      </c>
      <c r="Q15" s="36">
        <f t="shared" si="7"/>
        <v>0</v>
      </c>
      <c r="R15" s="56">
        <f t="shared" si="30"/>
        <v>0</v>
      </c>
      <c r="S15" s="58">
        <f t="shared" si="9"/>
        <v>0</v>
      </c>
      <c r="T15" s="36">
        <f t="shared" si="10"/>
        <v>0</v>
      </c>
      <c r="U15" s="56" t="str">
        <f t="shared" si="31"/>
        <v xml:space="preserve"> </v>
      </c>
      <c r="V15" s="58" t="str">
        <f t="shared" si="11"/>
        <v xml:space="preserve"> </v>
      </c>
      <c r="W15" s="36" t="str">
        <f t="shared" si="12"/>
        <v xml:space="preserve"> </v>
      </c>
      <c r="X15" s="56" t="str">
        <f t="shared" si="32"/>
        <v xml:space="preserve"> </v>
      </c>
      <c r="Y15" s="58" t="str">
        <f t="shared" si="33"/>
        <v xml:space="preserve"> </v>
      </c>
      <c r="Z15" s="36" t="str">
        <f t="shared" si="15"/>
        <v xml:space="preserve"> </v>
      </c>
      <c r="AA15" s="126">
        <f t="shared" si="16"/>
        <v>0</v>
      </c>
      <c r="AB15" s="130">
        <f t="shared" si="17"/>
        <v>0</v>
      </c>
      <c r="AC15" s="131">
        <f t="shared" si="18"/>
        <v>0</v>
      </c>
      <c r="AD15" s="131">
        <f t="shared" si="19"/>
        <v>0</v>
      </c>
      <c r="AE15" s="131" t="str">
        <f t="shared" si="20"/>
        <v xml:space="preserve"> </v>
      </c>
      <c r="AF15" s="132" t="str">
        <f t="shared" si="21"/>
        <v xml:space="preserve"> </v>
      </c>
      <c r="AG15" s="185">
        <f>+((AB15+M15)*173)/+HLOOKUP($J15,'PI Time'!$B$5:$D$6,2,FALSE)</f>
        <v>0</v>
      </c>
      <c r="AH15" s="136">
        <f t="shared" si="22"/>
        <v>0</v>
      </c>
      <c r="AI15" s="137">
        <f t="shared" si="23"/>
        <v>0</v>
      </c>
      <c r="AJ15" s="137">
        <f t="shared" si="24"/>
        <v>0</v>
      </c>
      <c r="AK15" s="137" t="str">
        <f t="shared" si="25"/>
        <v xml:space="preserve"> </v>
      </c>
      <c r="AL15" s="138" t="str">
        <f t="shared" si="26"/>
        <v xml:space="preserve"> </v>
      </c>
      <c r="AR15" s="170">
        <f t="shared" si="0"/>
        <v>0</v>
      </c>
      <c r="AS15" s="171">
        <f t="shared" si="1"/>
        <v>0</v>
      </c>
      <c r="AT15" s="171">
        <f t="shared" si="2"/>
        <v>0</v>
      </c>
      <c r="AU15" s="172">
        <f t="shared" si="3"/>
        <v>0</v>
      </c>
      <c r="BK15" s="156"/>
      <c r="BL15" s="157"/>
      <c r="BM15" s="157" t="s">
        <v>20</v>
      </c>
      <c r="BN15" s="157">
        <f t="shared" si="34"/>
        <v>9806</v>
      </c>
      <c r="BO15" s="157">
        <f t="shared" si="27"/>
        <v>4200</v>
      </c>
      <c r="BP15" s="157"/>
      <c r="BQ15" s="157">
        <v>6</v>
      </c>
      <c r="BR15" s="157"/>
      <c r="BS15" s="157"/>
      <c r="BT15" s="159"/>
    </row>
    <row r="16" spans="1:74" ht="15" customHeight="1" x14ac:dyDescent="0.25">
      <c r="B16">
        <v>8</v>
      </c>
      <c r="C16" s="109"/>
      <c r="D16" s="108"/>
      <c r="E16" s="12"/>
      <c r="F16" s="54"/>
      <c r="G16" s="12"/>
      <c r="H16" s="55"/>
      <c r="I16" s="12"/>
      <c r="J16" s="89">
        <v>10</v>
      </c>
      <c r="K16" s="13"/>
      <c r="L16" s="56">
        <v>0</v>
      </c>
      <c r="M16" s="57"/>
      <c r="N16" s="36">
        <f t="shared" si="4"/>
        <v>0</v>
      </c>
      <c r="O16" s="56">
        <f t="shared" si="29"/>
        <v>0</v>
      </c>
      <c r="P16" s="58">
        <f t="shared" si="6"/>
        <v>0</v>
      </c>
      <c r="Q16" s="36">
        <f t="shared" si="7"/>
        <v>0</v>
      </c>
      <c r="R16" s="56">
        <f t="shared" si="30"/>
        <v>0</v>
      </c>
      <c r="S16" s="58">
        <f t="shared" si="9"/>
        <v>0</v>
      </c>
      <c r="T16" s="36">
        <f t="shared" si="10"/>
        <v>0</v>
      </c>
      <c r="U16" s="56" t="str">
        <f t="shared" si="31"/>
        <v xml:space="preserve"> </v>
      </c>
      <c r="V16" s="58" t="str">
        <f t="shared" si="11"/>
        <v xml:space="preserve"> </v>
      </c>
      <c r="W16" s="36" t="str">
        <f t="shared" si="12"/>
        <v xml:space="preserve"> </v>
      </c>
      <c r="X16" s="56" t="str">
        <f t="shared" si="32"/>
        <v xml:space="preserve"> </v>
      </c>
      <c r="Y16" s="58" t="str">
        <f t="shared" si="33"/>
        <v xml:space="preserve"> </v>
      </c>
      <c r="Z16" s="36" t="str">
        <f t="shared" si="15"/>
        <v xml:space="preserve"> </v>
      </c>
      <c r="AA16" s="126">
        <f t="shared" si="16"/>
        <v>0</v>
      </c>
      <c r="AB16" s="130">
        <f t="shared" si="17"/>
        <v>0</v>
      </c>
      <c r="AC16" s="131">
        <f t="shared" si="18"/>
        <v>0</v>
      </c>
      <c r="AD16" s="131">
        <f t="shared" si="19"/>
        <v>0</v>
      </c>
      <c r="AE16" s="131" t="str">
        <f t="shared" si="20"/>
        <v xml:space="preserve"> </v>
      </c>
      <c r="AF16" s="132" t="str">
        <f t="shared" si="21"/>
        <v xml:space="preserve"> </v>
      </c>
      <c r="AG16" s="185">
        <f>+((AB16+M16)*173)/+HLOOKUP($J16,'PI Time'!$B$5:$D$6,2,FALSE)</f>
        <v>0</v>
      </c>
      <c r="AH16" s="136">
        <f t="shared" si="22"/>
        <v>0</v>
      </c>
      <c r="AI16" s="137">
        <f t="shared" si="23"/>
        <v>0</v>
      </c>
      <c r="AJ16" s="137">
        <f t="shared" si="24"/>
        <v>0</v>
      </c>
      <c r="AK16" s="137" t="str">
        <f t="shared" si="25"/>
        <v xml:space="preserve"> </v>
      </c>
      <c r="AL16" s="138" t="str">
        <f t="shared" si="26"/>
        <v xml:space="preserve"> </v>
      </c>
      <c r="AR16" s="170">
        <f t="shared" si="0"/>
        <v>0</v>
      </c>
      <c r="AS16" s="171">
        <f t="shared" si="1"/>
        <v>0</v>
      </c>
      <c r="AT16" s="171">
        <f t="shared" si="2"/>
        <v>0</v>
      </c>
      <c r="AU16" s="172">
        <f t="shared" si="3"/>
        <v>0</v>
      </c>
      <c r="BK16" s="156"/>
      <c r="BL16" s="157"/>
      <c r="BM16" s="157" t="s">
        <v>21</v>
      </c>
      <c r="BN16" s="157">
        <f t="shared" si="34"/>
        <v>10296</v>
      </c>
      <c r="BO16" s="157">
        <f t="shared" si="27"/>
        <v>4400</v>
      </c>
      <c r="BP16" s="157"/>
      <c r="BQ16" s="157">
        <v>7</v>
      </c>
      <c r="BR16" s="157"/>
      <c r="BS16" s="157"/>
      <c r="BT16" s="159"/>
    </row>
    <row r="17" spans="1:73" ht="15" hidden="1" customHeight="1" x14ac:dyDescent="0.25">
      <c r="B17">
        <v>9</v>
      </c>
      <c r="C17" s="109"/>
      <c r="D17" s="108"/>
      <c r="E17" s="12"/>
      <c r="F17" s="54"/>
      <c r="G17" s="12"/>
      <c r="H17" s="55"/>
      <c r="I17" s="12"/>
      <c r="J17" s="89">
        <v>10</v>
      </c>
      <c r="K17" s="13"/>
      <c r="L17" s="56">
        <v>0</v>
      </c>
      <c r="M17" s="57"/>
      <c r="N17" s="36">
        <f t="shared" si="4"/>
        <v>0</v>
      </c>
      <c r="O17" s="56">
        <f t="shared" si="29"/>
        <v>0</v>
      </c>
      <c r="P17" s="58">
        <f t="shared" si="6"/>
        <v>0</v>
      </c>
      <c r="Q17" s="36">
        <f t="shared" si="7"/>
        <v>0</v>
      </c>
      <c r="R17" s="56">
        <f t="shared" si="30"/>
        <v>0</v>
      </c>
      <c r="S17" s="58">
        <f t="shared" si="9"/>
        <v>0</v>
      </c>
      <c r="T17" s="36">
        <f t="shared" si="10"/>
        <v>0</v>
      </c>
      <c r="U17" s="56" t="str">
        <f t="shared" si="31"/>
        <v xml:space="preserve"> </v>
      </c>
      <c r="V17" s="58" t="str">
        <f t="shared" si="11"/>
        <v xml:space="preserve"> </v>
      </c>
      <c r="W17" s="36" t="str">
        <f t="shared" si="12"/>
        <v xml:space="preserve"> </v>
      </c>
      <c r="X17" s="56" t="str">
        <f t="shared" si="32"/>
        <v xml:space="preserve"> </v>
      </c>
      <c r="Y17" s="58" t="str">
        <f t="shared" si="33"/>
        <v xml:space="preserve"> </v>
      </c>
      <c r="Z17" s="36" t="str">
        <f t="shared" si="15"/>
        <v xml:space="preserve"> </v>
      </c>
      <c r="AA17" s="126">
        <f t="shared" si="16"/>
        <v>0</v>
      </c>
      <c r="AB17" s="130">
        <f t="shared" si="17"/>
        <v>0</v>
      </c>
      <c r="AC17" s="131">
        <f t="shared" si="18"/>
        <v>0</v>
      </c>
      <c r="AD17" s="131">
        <f t="shared" si="19"/>
        <v>0</v>
      </c>
      <c r="AE17" s="131" t="str">
        <f t="shared" si="20"/>
        <v xml:space="preserve"> </v>
      </c>
      <c r="AF17" s="132" t="str">
        <f t="shared" si="21"/>
        <v xml:space="preserve"> </v>
      </c>
      <c r="AG17" s="185">
        <f>+((AB17+M17)*173)/+HLOOKUP($J17,'PI Time'!$B$5:$D$6,2,FALSE)</f>
        <v>0</v>
      </c>
      <c r="AH17" s="136">
        <f t="shared" si="22"/>
        <v>0</v>
      </c>
      <c r="AI17" s="137">
        <f t="shared" si="23"/>
        <v>0</v>
      </c>
      <c r="AJ17" s="137">
        <f t="shared" si="24"/>
        <v>0</v>
      </c>
      <c r="AK17" s="137" t="str">
        <f t="shared" si="25"/>
        <v xml:space="preserve"> </v>
      </c>
      <c r="AL17" s="138" t="str">
        <f t="shared" si="26"/>
        <v xml:space="preserve"> </v>
      </c>
      <c r="AR17" s="170">
        <f t="shared" si="0"/>
        <v>0</v>
      </c>
      <c r="AS17" s="171">
        <f t="shared" si="1"/>
        <v>0</v>
      </c>
      <c r="AT17" s="171">
        <f t="shared" si="2"/>
        <v>0</v>
      </c>
      <c r="AU17" s="172">
        <f t="shared" si="3"/>
        <v>0</v>
      </c>
      <c r="BK17" s="156"/>
      <c r="BL17" s="157"/>
      <c r="BM17" s="157" t="s">
        <v>22</v>
      </c>
      <c r="BN17" s="157">
        <f t="shared" si="34"/>
        <v>10811</v>
      </c>
      <c r="BO17" s="157">
        <f t="shared" si="27"/>
        <v>4600</v>
      </c>
      <c r="BP17" s="157"/>
      <c r="BQ17" s="157">
        <v>8</v>
      </c>
      <c r="BR17" s="157"/>
      <c r="BS17" s="157"/>
      <c r="BT17" s="159"/>
    </row>
    <row r="18" spans="1:73" ht="15" hidden="1" customHeight="1" x14ac:dyDescent="0.25">
      <c r="B18">
        <v>10</v>
      </c>
      <c r="C18" s="109"/>
      <c r="D18" s="108"/>
      <c r="E18" s="12"/>
      <c r="F18" s="54"/>
      <c r="G18" s="12"/>
      <c r="H18" s="55"/>
      <c r="I18" s="12"/>
      <c r="J18" s="89">
        <v>12</v>
      </c>
      <c r="K18" s="13"/>
      <c r="L18" s="56">
        <v>0</v>
      </c>
      <c r="M18" s="57"/>
      <c r="N18" s="36">
        <f t="shared" si="4"/>
        <v>0</v>
      </c>
      <c r="O18" s="56">
        <f t="shared" si="29"/>
        <v>0</v>
      </c>
      <c r="P18" s="58">
        <f t="shared" si="6"/>
        <v>0</v>
      </c>
      <c r="Q18" s="36">
        <f t="shared" si="7"/>
        <v>0</v>
      </c>
      <c r="R18" s="56">
        <f t="shared" si="30"/>
        <v>0</v>
      </c>
      <c r="S18" s="58">
        <f t="shared" si="9"/>
        <v>0</v>
      </c>
      <c r="T18" s="36">
        <f t="shared" si="10"/>
        <v>0</v>
      </c>
      <c r="U18" s="56" t="str">
        <f t="shared" si="31"/>
        <v xml:space="preserve"> </v>
      </c>
      <c r="V18" s="58" t="str">
        <f t="shared" si="11"/>
        <v xml:space="preserve"> </v>
      </c>
      <c r="W18" s="36" t="str">
        <f t="shared" si="12"/>
        <v xml:space="preserve"> </v>
      </c>
      <c r="X18" s="56" t="str">
        <f t="shared" si="32"/>
        <v xml:space="preserve"> </v>
      </c>
      <c r="Y18" s="58" t="str">
        <f t="shared" si="33"/>
        <v xml:space="preserve"> </v>
      </c>
      <c r="Z18" s="36" t="str">
        <f t="shared" si="15"/>
        <v xml:space="preserve"> </v>
      </c>
      <c r="AA18" s="126">
        <f t="shared" si="16"/>
        <v>0</v>
      </c>
      <c r="AB18" s="130">
        <f t="shared" si="17"/>
        <v>0</v>
      </c>
      <c r="AC18" s="131">
        <f t="shared" si="18"/>
        <v>0</v>
      </c>
      <c r="AD18" s="131">
        <f t="shared" si="19"/>
        <v>0</v>
      </c>
      <c r="AE18" s="131" t="str">
        <f t="shared" si="20"/>
        <v xml:space="preserve"> </v>
      </c>
      <c r="AF18" s="132" t="str">
        <f t="shared" si="21"/>
        <v xml:space="preserve"> </v>
      </c>
      <c r="AG18" s="185">
        <f>+((AB18+M18)*173)/+HLOOKUP($J18,'PI Time'!$B$5:$D$6,2,FALSE)</f>
        <v>0</v>
      </c>
      <c r="AH18" s="136">
        <f t="shared" si="22"/>
        <v>0</v>
      </c>
      <c r="AI18" s="137">
        <f t="shared" si="23"/>
        <v>0</v>
      </c>
      <c r="AJ18" s="137">
        <f t="shared" si="24"/>
        <v>0</v>
      </c>
      <c r="AK18" s="137" t="str">
        <f t="shared" si="25"/>
        <v xml:space="preserve"> </v>
      </c>
      <c r="AL18" s="138" t="str">
        <f t="shared" si="26"/>
        <v xml:space="preserve"> </v>
      </c>
      <c r="AR18" s="170">
        <f t="shared" si="0"/>
        <v>0</v>
      </c>
      <c r="AS18" s="171">
        <f t="shared" si="1"/>
        <v>0</v>
      </c>
      <c r="AT18" s="171">
        <f t="shared" si="2"/>
        <v>0</v>
      </c>
      <c r="AU18" s="172">
        <f t="shared" si="3"/>
        <v>0</v>
      </c>
      <c r="BK18" s="156"/>
      <c r="BL18" s="157"/>
      <c r="BM18" s="157" t="s">
        <v>23</v>
      </c>
      <c r="BN18" s="157">
        <f t="shared" si="34"/>
        <v>11352</v>
      </c>
      <c r="BO18" s="157">
        <f t="shared" si="27"/>
        <v>4800</v>
      </c>
      <c r="BP18" s="157"/>
      <c r="BQ18" s="157">
        <v>9</v>
      </c>
      <c r="BR18" s="157"/>
      <c r="BS18" s="157"/>
      <c r="BT18" s="159"/>
    </row>
    <row r="19" spans="1:73" ht="15" hidden="1" customHeight="1" x14ac:dyDescent="0.25">
      <c r="B19">
        <v>11</v>
      </c>
      <c r="C19" s="109"/>
      <c r="D19" s="108"/>
      <c r="E19" s="12"/>
      <c r="F19" s="54"/>
      <c r="G19" s="12"/>
      <c r="H19" s="55"/>
      <c r="I19" s="12"/>
      <c r="J19" s="89">
        <v>10</v>
      </c>
      <c r="K19" s="13"/>
      <c r="L19" s="56">
        <v>0</v>
      </c>
      <c r="M19" s="57"/>
      <c r="N19" s="36">
        <f t="shared" si="4"/>
        <v>0</v>
      </c>
      <c r="O19" s="56">
        <f t="shared" si="29"/>
        <v>0</v>
      </c>
      <c r="P19" s="58">
        <f t="shared" si="6"/>
        <v>0</v>
      </c>
      <c r="Q19" s="36">
        <f t="shared" si="7"/>
        <v>0</v>
      </c>
      <c r="R19" s="56">
        <f t="shared" si="30"/>
        <v>0</v>
      </c>
      <c r="S19" s="58">
        <f t="shared" si="9"/>
        <v>0</v>
      </c>
      <c r="T19" s="36">
        <f t="shared" si="10"/>
        <v>0</v>
      </c>
      <c r="U19" s="56" t="str">
        <f t="shared" si="31"/>
        <v xml:space="preserve"> </v>
      </c>
      <c r="V19" s="58" t="str">
        <f t="shared" si="11"/>
        <v xml:space="preserve"> </v>
      </c>
      <c r="W19" s="36" t="str">
        <f t="shared" si="12"/>
        <v xml:space="preserve"> </v>
      </c>
      <c r="X19" s="56" t="str">
        <f t="shared" si="32"/>
        <v xml:space="preserve"> </v>
      </c>
      <c r="Y19" s="58" t="str">
        <f t="shared" si="33"/>
        <v xml:space="preserve"> </v>
      </c>
      <c r="Z19" s="36" t="str">
        <f t="shared" si="15"/>
        <v xml:space="preserve"> </v>
      </c>
      <c r="AA19" s="126">
        <f t="shared" si="16"/>
        <v>0</v>
      </c>
      <c r="AB19" s="130">
        <f t="shared" si="17"/>
        <v>0</v>
      </c>
      <c r="AC19" s="131">
        <f t="shared" si="18"/>
        <v>0</v>
      </c>
      <c r="AD19" s="131">
        <f t="shared" si="19"/>
        <v>0</v>
      </c>
      <c r="AE19" s="131" t="str">
        <f t="shared" si="20"/>
        <v xml:space="preserve"> </v>
      </c>
      <c r="AF19" s="132" t="str">
        <f t="shared" si="21"/>
        <v xml:space="preserve"> </v>
      </c>
      <c r="AG19" s="185">
        <f>+((AB19+M19)*173)/+HLOOKUP($J19,'PI Time'!$B$5:$D$6,2,FALSE)</f>
        <v>0</v>
      </c>
      <c r="AH19" s="136">
        <f t="shared" si="22"/>
        <v>0</v>
      </c>
      <c r="AI19" s="137">
        <f t="shared" si="23"/>
        <v>0</v>
      </c>
      <c r="AJ19" s="137">
        <f t="shared" si="24"/>
        <v>0</v>
      </c>
      <c r="AK19" s="137" t="str">
        <f t="shared" si="25"/>
        <v xml:space="preserve"> </v>
      </c>
      <c r="AL19" s="138" t="str">
        <f t="shared" si="26"/>
        <v xml:space="preserve"> </v>
      </c>
      <c r="AR19" s="170">
        <f t="shared" si="0"/>
        <v>0</v>
      </c>
      <c r="AS19" s="171">
        <f t="shared" si="1"/>
        <v>0</v>
      </c>
      <c r="AT19" s="171">
        <f t="shared" si="2"/>
        <v>0</v>
      </c>
      <c r="AU19" s="172">
        <f t="shared" si="3"/>
        <v>0</v>
      </c>
      <c r="BK19" s="156"/>
      <c r="BL19" s="157"/>
      <c r="BM19" s="157" t="s">
        <v>24</v>
      </c>
      <c r="BN19" s="157">
        <f t="shared" si="34"/>
        <v>11920</v>
      </c>
      <c r="BO19" s="157">
        <f t="shared" si="27"/>
        <v>5000</v>
      </c>
      <c r="BP19" s="157"/>
      <c r="BQ19" s="157">
        <v>10</v>
      </c>
      <c r="BR19" s="157"/>
      <c r="BS19" s="157"/>
      <c r="BT19" s="159"/>
    </row>
    <row r="20" spans="1:73" ht="15" hidden="1" customHeight="1" x14ac:dyDescent="0.25">
      <c r="B20">
        <v>12</v>
      </c>
      <c r="C20" s="109"/>
      <c r="D20" s="108"/>
      <c r="E20" s="12"/>
      <c r="F20" s="54"/>
      <c r="G20" s="12"/>
      <c r="H20" s="55"/>
      <c r="I20" s="12"/>
      <c r="J20" s="89">
        <v>10</v>
      </c>
      <c r="K20" s="13"/>
      <c r="L20" s="56">
        <v>0</v>
      </c>
      <c r="M20" s="57"/>
      <c r="N20" s="36">
        <f t="shared" si="4"/>
        <v>0</v>
      </c>
      <c r="O20" s="56">
        <f t="shared" si="29"/>
        <v>0</v>
      </c>
      <c r="P20" s="58">
        <f t="shared" si="6"/>
        <v>0</v>
      </c>
      <c r="Q20" s="36">
        <f t="shared" si="7"/>
        <v>0</v>
      </c>
      <c r="R20" s="56">
        <f t="shared" si="30"/>
        <v>0</v>
      </c>
      <c r="S20" s="58">
        <f t="shared" si="9"/>
        <v>0</v>
      </c>
      <c r="T20" s="36">
        <f t="shared" si="10"/>
        <v>0</v>
      </c>
      <c r="U20" s="56" t="str">
        <f t="shared" si="31"/>
        <v xml:space="preserve"> </v>
      </c>
      <c r="V20" s="58" t="str">
        <f t="shared" si="11"/>
        <v xml:space="preserve"> </v>
      </c>
      <c r="W20" s="36" t="str">
        <f t="shared" si="12"/>
        <v xml:space="preserve"> </v>
      </c>
      <c r="X20" s="56" t="str">
        <f t="shared" si="32"/>
        <v xml:space="preserve"> </v>
      </c>
      <c r="Y20" s="58" t="str">
        <f t="shared" si="33"/>
        <v xml:space="preserve"> </v>
      </c>
      <c r="Z20" s="36" t="str">
        <f t="shared" si="15"/>
        <v xml:space="preserve"> </v>
      </c>
      <c r="AA20" s="126">
        <f t="shared" si="16"/>
        <v>0</v>
      </c>
      <c r="AB20" s="130">
        <f t="shared" si="17"/>
        <v>0</v>
      </c>
      <c r="AC20" s="131">
        <f t="shared" si="18"/>
        <v>0</v>
      </c>
      <c r="AD20" s="131">
        <f t="shared" si="19"/>
        <v>0</v>
      </c>
      <c r="AE20" s="131" t="str">
        <f t="shared" si="20"/>
        <v xml:space="preserve"> </v>
      </c>
      <c r="AF20" s="132" t="str">
        <f t="shared" si="21"/>
        <v xml:space="preserve"> </v>
      </c>
      <c r="AG20" s="185">
        <f>+((AB20+M20)*173)/+HLOOKUP($J20,'PI Time'!$B$5:$D$6,2,FALSE)</f>
        <v>0</v>
      </c>
      <c r="AH20" s="136">
        <f t="shared" si="22"/>
        <v>0</v>
      </c>
      <c r="AI20" s="137">
        <f t="shared" si="23"/>
        <v>0</v>
      </c>
      <c r="AJ20" s="137">
        <f t="shared" si="24"/>
        <v>0</v>
      </c>
      <c r="AK20" s="137" t="str">
        <f t="shared" si="25"/>
        <v xml:space="preserve"> </v>
      </c>
      <c r="AL20" s="138" t="str">
        <f t="shared" si="26"/>
        <v xml:space="preserve"> </v>
      </c>
      <c r="AR20" s="170">
        <f t="shared" si="0"/>
        <v>0</v>
      </c>
      <c r="AS20" s="171">
        <f t="shared" si="1"/>
        <v>0</v>
      </c>
      <c r="AT20" s="171">
        <f t="shared" si="2"/>
        <v>0</v>
      </c>
      <c r="AU20" s="172">
        <f t="shared" si="3"/>
        <v>0</v>
      </c>
      <c r="BK20" s="156"/>
      <c r="BL20" s="157"/>
      <c r="BM20" s="157" t="s">
        <v>25</v>
      </c>
      <c r="BN20" s="157">
        <f t="shared" si="34"/>
        <v>12516</v>
      </c>
      <c r="BO20" s="157">
        <f t="shared" si="27"/>
        <v>5200</v>
      </c>
      <c r="BP20" s="157"/>
      <c r="BQ20" s="157"/>
      <c r="BR20" s="157"/>
      <c r="BS20" s="157"/>
      <c r="BT20" s="159"/>
    </row>
    <row r="21" spans="1:73" ht="15" hidden="1" customHeight="1" x14ac:dyDescent="0.25">
      <c r="B21">
        <v>13</v>
      </c>
      <c r="C21" s="109"/>
      <c r="D21" s="108"/>
      <c r="E21" s="12"/>
      <c r="F21" s="54"/>
      <c r="G21" s="12"/>
      <c r="H21" s="55"/>
      <c r="I21" s="12"/>
      <c r="J21" s="89">
        <v>12</v>
      </c>
      <c r="K21" s="13"/>
      <c r="L21" s="56">
        <v>0</v>
      </c>
      <c r="M21" s="57"/>
      <c r="N21" s="36">
        <f t="shared" si="4"/>
        <v>0</v>
      </c>
      <c r="O21" s="56">
        <f t="shared" si="29"/>
        <v>0</v>
      </c>
      <c r="P21" s="58">
        <f t="shared" si="6"/>
        <v>0</v>
      </c>
      <c r="Q21" s="36">
        <f t="shared" si="7"/>
        <v>0</v>
      </c>
      <c r="R21" s="56">
        <f t="shared" si="30"/>
        <v>0</v>
      </c>
      <c r="S21" s="58">
        <f t="shared" si="9"/>
        <v>0</v>
      </c>
      <c r="T21" s="36">
        <f t="shared" si="10"/>
        <v>0</v>
      </c>
      <c r="U21" s="56" t="str">
        <f t="shared" si="31"/>
        <v xml:space="preserve"> </v>
      </c>
      <c r="V21" s="58" t="str">
        <f t="shared" si="11"/>
        <v xml:space="preserve"> </v>
      </c>
      <c r="W21" s="36" t="str">
        <f t="shared" si="12"/>
        <v xml:space="preserve"> </v>
      </c>
      <c r="X21" s="56" t="str">
        <f t="shared" si="32"/>
        <v xml:space="preserve"> </v>
      </c>
      <c r="Y21" s="58" t="str">
        <f t="shared" si="33"/>
        <v xml:space="preserve"> </v>
      </c>
      <c r="Z21" s="36" t="str">
        <f t="shared" si="15"/>
        <v xml:space="preserve"> </v>
      </c>
      <c r="AA21" s="126">
        <f t="shared" si="16"/>
        <v>0</v>
      </c>
      <c r="AB21" s="130">
        <f t="shared" si="17"/>
        <v>0</v>
      </c>
      <c r="AC21" s="131">
        <f t="shared" si="18"/>
        <v>0</v>
      </c>
      <c r="AD21" s="131">
        <f t="shared" si="19"/>
        <v>0</v>
      </c>
      <c r="AE21" s="131" t="str">
        <f t="shared" si="20"/>
        <v xml:space="preserve"> </v>
      </c>
      <c r="AF21" s="132" t="str">
        <f t="shared" si="21"/>
        <v xml:space="preserve"> </v>
      </c>
      <c r="AG21" s="185">
        <f>+((AB21+M21)*173)/+HLOOKUP($J21,'PI Time'!$B$5:$D$6,2,FALSE)</f>
        <v>0</v>
      </c>
      <c r="AH21" s="136">
        <f t="shared" si="22"/>
        <v>0</v>
      </c>
      <c r="AI21" s="137">
        <f t="shared" si="23"/>
        <v>0</v>
      </c>
      <c r="AJ21" s="137">
        <f t="shared" si="24"/>
        <v>0</v>
      </c>
      <c r="AK21" s="137" t="str">
        <f t="shared" si="25"/>
        <v xml:space="preserve"> </v>
      </c>
      <c r="AL21" s="138" t="str">
        <f t="shared" si="26"/>
        <v xml:space="preserve"> </v>
      </c>
      <c r="AR21" s="170">
        <f t="shared" si="0"/>
        <v>0</v>
      </c>
      <c r="AS21" s="171">
        <f t="shared" si="1"/>
        <v>0</v>
      </c>
      <c r="AT21" s="171">
        <f t="shared" si="2"/>
        <v>0</v>
      </c>
      <c r="AU21" s="172">
        <f t="shared" si="3"/>
        <v>0</v>
      </c>
      <c r="BK21" s="156"/>
      <c r="BL21" s="157"/>
      <c r="BM21" s="157" t="s">
        <v>26</v>
      </c>
      <c r="BN21" s="157">
        <f t="shared" si="34"/>
        <v>13142</v>
      </c>
      <c r="BO21" s="157">
        <f t="shared" si="27"/>
        <v>5400</v>
      </c>
      <c r="BP21" s="157"/>
      <c r="BQ21" s="157"/>
      <c r="BR21" s="157"/>
      <c r="BS21" s="157"/>
      <c r="BT21" s="159"/>
    </row>
    <row r="22" spans="1:73" ht="15" hidden="1" customHeight="1" x14ac:dyDescent="0.25">
      <c r="B22">
        <v>14</v>
      </c>
      <c r="C22" s="109"/>
      <c r="D22" s="108"/>
      <c r="E22" s="12"/>
      <c r="F22" s="54"/>
      <c r="G22" s="12"/>
      <c r="H22" s="55"/>
      <c r="I22" s="12"/>
      <c r="J22" s="89">
        <v>10</v>
      </c>
      <c r="K22" s="13"/>
      <c r="L22" s="56">
        <v>0</v>
      </c>
      <c r="M22" s="57"/>
      <c r="N22" s="36">
        <f t="shared" si="4"/>
        <v>0</v>
      </c>
      <c r="O22" s="56">
        <f t="shared" si="29"/>
        <v>0</v>
      </c>
      <c r="P22" s="58">
        <f t="shared" si="6"/>
        <v>0</v>
      </c>
      <c r="Q22" s="36">
        <f t="shared" si="7"/>
        <v>0</v>
      </c>
      <c r="R22" s="56">
        <f t="shared" si="30"/>
        <v>0</v>
      </c>
      <c r="S22" s="58">
        <f t="shared" si="9"/>
        <v>0</v>
      </c>
      <c r="T22" s="36">
        <f t="shared" si="10"/>
        <v>0</v>
      </c>
      <c r="U22" s="56" t="str">
        <f t="shared" si="31"/>
        <v xml:space="preserve"> </v>
      </c>
      <c r="V22" s="58" t="str">
        <f t="shared" si="11"/>
        <v xml:space="preserve"> </v>
      </c>
      <c r="W22" s="36" t="str">
        <f t="shared" si="12"/>
        <v xml:space="preserve"> </v>
      </c>
      <c r="X22" s="56" t="str">
        <f t="shared" si="32"/>
        <v xml:space="preserve"> </v>
      </c>
      <c r="Y22" s="58" t="str">
        <f t="shared" si="33"/>
        <v xml:space="preserve"> </v>
      </c>
      <c r="Z22" s="36" t="str">
        <f t="shared" si="15"/>
        <v xml:space="preserve"> </v>
      </c>
      <c r="AA22" s="126">
        <f t="shared" si="16"/>
        <v>0</v>
      </c>
      <c r="AB22" s="130">
        <f t="shared" si="17"/>
        <v>0</v>
      </c>
      <c r="AC22" s="131">
        <f t="shared" si="18"/>
        <v>0</v>
      </c>
      <c r="AD22" s="131">
        <f t="shared" si="19"/>
        <v>0</v>
      </c>
      <c r="AE22" s="131" t="str">
        <f t="shared" si="20"/>
        <v xml:space="preserve"> </v>
      </c>
      <c r="AF22" s="132" t="str">
        <f t="shared" si="21"/>
        <v xml:space="preserve"> </v>
      </c>
      <c r="AG22" s="185">
        <f>+((AB22+M22)*173)/+HLOOKUP($J22,'PI Time'!$B$5:$D$6,2,FALSE)</f>
        <v>0</v>
      </c>
      <c r="AH22" s="136">
        <f t="shared" si="22"/>
        <v>0</v>
      </c>
      <c r="AI22" s="137">
        <f t="shared" si="23"/>
        <v>0</v>
      </c>
      <c r="AJ22" s="137">
        <f t="shared" si="24"/>
        <v>0</v>
      </c>
      <c r="AK22" s="137" t="str">
        <f t="shared" si="25"/>
        <v xml:space="preserve"> </v>
      </c>
      <c r="AL22" s="138" t="str">
        <f t="shared" si="26"/>
        <v xml:space="preserve"> </v>
      </c>
      <c r="AR22" s="170">
        <f t="shared" si="0"/>
        <v>0</v>
      </c>
      <c r="AS22" s="171">
        <f t="shared" si="1"/>
        <v>0</v>
      </c>
      <c r="AT22" s="171">
        <f t="shared" si="2"/>
        <v>0</v>
      </c>
      <c r="AU22" s="172">
        <f t="shared" si="3"/>
        <v>0</v>
      </c>
      <c r="BK22" s="156"/>
      <c r="BL22" s="157"/>
      <c r="BM22" s="157" t="s">
        <v>27</v>
      </c>
      <c r="BN22" s="157">
        <f t="shared" si="34"/>
        <v>13799</v>
      </c>
      <c r="BO22" s="157">
        <f t="shared" si="27"/>
        <v>5600</v>
      </c>
      <c r="BP22" s="157"/>
      <c r="BQ22" s="157"/>
      <c r="BR22" s="157"/>
      <c r="BS22" s="157"/>
      <c r="BT22" s="159"/>
    </row>
    <row r="23" spans="1:73" ht="15" hidden="1" customHeight="1" x14ac:dyDescent="0.25">
      <c r="B23">
        <v>15</v>
      </c>
      <c r="C23" s="109"/>
      <c r="D23" s="108"/>
      <c r="E23" s="12"/>
      <c r="F23" s="54"/>
      <c r="G23" s="12"/>
      <c r="H23" s="55"/>
      <c r="I23" s="12"/>
      <c r="J23" s="89">
        <v>10</v>
      </c>
      <c r="K23" s="13"/>
      <c r="L23" s="56">
        <v>0</v>
      </c>
      <c r="M23" s="57"/>
      <c r="N23" s="36">
        <f t="shared" si="4"/>
        <v>0</v>
      </c>
      <c r="O23" s="56">
        <f t="shared" si="29"/>
        <v>0</v>
      </c>
      <c r="P23" s="58">
        <f t="shared" si="6"/>
        <v>0</v>
      </c>
      <c r="Q23" s="36">
        <f t="shared" si="7"/>
        <v>0</v>
      </c>
      <c r="R23" s="56">
        <f t="shared" si="30"/>
        <v>0</v>
      </c>
      <c r="S23" s="58">
        <f t="shared" si="9"/>
        <v>0</v>
      </c>
      <c r="T23" s="36">
        <f t="shared" si="10"/>
        <v>0</v>
      </c>
      <c r="U23" s="56" t="str">
        <f t="shared" si="31"/>
        <v xml:space="preserve"> </v>
      </c>
      <c r="V23" s="58" t="str">
        <f t="shared" si="11"/>
        <v xml:space="preserve"> </v>
      </c>
      <c r="W23" s="36" t="str">
        <f t="shared" si="12"/>
        <v xml:space="preserve"> </v>
      </c>
      <c r="X23" s="56" t="str">
        <f t="shared" si="32"/>
        <v xml:space="preserve"> </v>
      </c>
      <c r="Y23" s="58" t="str">
        <f t="shared" si="33"/>
        <v xml:space="preserve"> </v>
      </c>
      <c r="Z23" s="36" t="str">
        <f t="shared" si="15"/>
        <v xml:space="preserve"> </v>
      </c>
      <c r="AA23" s="126">
        <f t="shared" si="16"/>
        <v>0</v>
      </c>
      <c r="AB23" s="130">
        <f t="shared" si="17"/>
        <v>0</v>
      </c>
      <c r="AC23" s="131">
        <f t="shared" si="18"/>
        <v>0</v>
      </c>
      <c r="AD23" s="131">
        <f t="shared" si="19"/>
        <v>0</v>
      </c>
      <c r="AE23" s="131" t="str">
        <f t="shared" si="20"/>
        <v xml:space="preserve"> </v>
      </c>
      <c r="AF23" s="132" t="str">
        <f t="shared" si="21"/>
        <v xml:space="preserve"> </v>
      </c>
      <c r="AG23" s="185">
        <f>+((AB23+M23)*173)/+HLOOKUP($J23,'PI Time'!$B$5:$D$6,2,FALSE)</f>
        <v>0</v>
      </c>
      <c r="AH23" s="136">
        <f t="shared" si="22"/>
        <v>0</v>
      </c>
      <c r="AI23" s="137">
        <f t="shared" si="23"/>
        <v>0</v>
      </c>
      <c r="AJ23" s="137">
        <f t="shared" si="24"/>
        <v>0</v>
      </c>
      <c r="AK23" s="137" t="str">
        <f t="shared" si="25"/>
        <v xml:space="preserve"> </v>
      </c>
      <c r="AL23" s="138" t="str">
        <f t="shared" si="26"/>
        <v xml:space="preserve"> </v>
      </c>
      <c r="AR23" s="170">
        <f t="shared" si="0"/>
        <v>0</v>
      </c>
      <c r="AS23" s="171">
        <f t="shared" si="1"/>
        <v>0</v>
      </c>
      <c r="AT23" s="171">
        <f t="shared" si="2"/>
        <v>0</v>
      </c>
      <c r="AU23" s="172">
        <f t="shared" si="3"/>
        <v>0</v>
      </c>
      <c r="BK23" s="156"/>
      <c r="BL23" s="157"/>
      <c r="BM23" s="157" t="s">
        <v>28</v>
      </c>
      <c r="BN23" s="157">
        <f t="shared" si="34"/>
        <v>14489</v>
      </c>
      <c r="BO23" s="157">
        <f t="shared" si="27"/>
        <v>5800</v>
      </c>
      <c r="BP23" s="157"/>
      <c r="BQ23" s="157"/>
      <c r="BR23" s="157"/>
      <c r="BS23" s="157"/>
      <c r="BT23" s="159"/>
    </row>
    <row r="24" spans="1:73" ht="15.75" thickBot="1" x14ac:dyDescent="0.3">
      <c r="B24">
        <v>16</v>
      </c>
      <c r="C24" s="109"/>
      <c r="D24" s="108"/>
      <c r="E24" s="12"/>
      <c r="F24" s="54"/>
      <c r="G24" s="12"/>
      <c r="H24" s="55"/>
      <c r="I24" s="12"/>
      <c r="J24" s="89">
        <v>10</v>
      </c>
      <c r="K24" s="13"/>
      <c r="L24" s="56">
        <v>0</v>
      </c>
      <c r="M24" s="57"/>
      <c r="N24" s="36">
        <f t="shared" si="4"/>
        <v>0</v>
      </c>
      <c r="O24" s="56">
        <f t="shared" si="29"/>
        <v>0</v>
      </c>
      <c r="P24" s="58">
        <f t="shared" si="6"/>
        <v>0</v>
      </c>
      <c r="Q24" s="36">
        <f t="shared" si="7"/>
        <v>0</v>
      </c>
      <c r="R24" s="56">
        <f t="shared" si="30"/>
        <v>0</v>
      </c>
      <c r="S24" s="58">
        <f t="shared" si="9"/>
        <v>0</v>
      </c>
      <c r="T24" s="36">
        <f t="shared" si="10"/>
        <v>0</v>
      </c>
      <c r="U24" s="56" t="str">
        <f t="shared" si="31"/>
        <v xml:space="preserve"> </v>
      </c>
      <c r="V24" s="58" t="str">
        <f t="shared" si="11"/>
        <v xml:space="preserve"> </v>
      </c>
      <c r="W24" s="36" t="str">
        <f t="shared" si="12"/>
        <v xml:space="preserve"> </v>
      </c>
      <c r="X24" s="56" t="str">
        <f t="shared" si="32"/>
        <v xml:space="preserve"> </v>
      </c>
      <c r="Y24" s="58" t="str">
        <f t="shared" si="33"/>
        <v xml:space="preserve"> </v>
      </c>
      <c r="Z24" s="36" t="str">
        <f t="shared" si="15"/>
        <v xml:space="preserve"> </v>
      </c>
      <c r="AA24" s="126">
        <f t="shared" si="16"/>
        <v>0</v>
      </c>
      <c r="AB24" s="130">
        <f t="shared" si="17"/>
        <v>0</v>
      </c>
      <c r="AC24" s="131">
        <f t="shared" si="18"/>
        <v>0</v>
      </c>
      <c r="AD24" s="131">
        <f t="shared" si="19"/>
        <v>0</v>
      </c>
      <c r="AE24" s="131" t="str">
        <f t="shared" si="20"/>
        <v xml:space="preserve"> </v>
      </c>
      <c r="AF24" s="132" t="str">
        <f t="shared" si="21"/>
        <v xml:space="preserve"> </v>
      </c>
      <c r="AG24" s="185">
        <f>+((AB24+M24)*173)/+HLOOKUP($J24,'PI Time'!$B$5:$D$6,2,FALSE)</f>
        <v>0</v>
      </c>
      <c r="AH24" s="136">
        <f t="shared" si="22"/>
        <v>0</v>
      </c>
      <c r="AI24" s="137">
        <f t="shared" si="23"/>
        <v>0</v>
      </c>
      <c r="AJ24" s="137">
        <f t="shared" si="24"/>
        <v>0</v>
      </c>
      <c r="AK24" s="137" t="str">
        <f t="shared" si="25"/>
        <v xml:space="preserve"> </v>
      </c>
      <c r="AL24" s="138" t="str">
        <f t="shared" si="26"/>
        <v xml:space="preserve"> </v>
      </c>
      <c r="AR24" s="173">
        <f t="shared" si="0"/>
        <v>0</v>
      </c>
      <c r="AS24" s="174">
        <f t="shared" si="1"/>
        <v>0</v>
      </c>
      <c r="AT24" s="174">
        <f t="shared" si="2"/>
        <v>0</v>
      </c>
      <c r="AU24" s="175">
        <f t="shared" si="3"/>
        <v>0</v>
      </c>
      <c r="BK24" s="160"/>
      <c r="BL24" s="161"/>
      <c r="BM24" s="161" t="s">
        <v>265</v>
      </c>
      <c r="BN24" s="161">
        <f t="shared" si="34"/>
        <v>15213</v>
      </c>
      <c r="BO24" s="161">
        <f t="shared" si="27"/>
        <v>6000</v>
      </c>
      <c r="BP24" s="161"/>
      <c r="BQ24" s="161"/>
      <c r="BR24" s="161"/>
      <c r="BS24" s="161"/>
      <c r="BT24" s="197"/>
      <c r="BU24">
        <v>1.04</v>
      </c>
    </row>
    <row r="25" spans="1:73" ht="16.5" thickTop="1" thickBot="1" x14ac:dyDescent="0.3">
      <c r="C25" s="7" t="s">
        <v>88</v>
      </c>
      <c r="H25" s="50"/>
      <c r="L25" s="17"/>
      <c r="M25" s="9"/>
      <c r="N25" s="37">
        <f>SUM(N9:N24)</f>
        <v>0</v>
      </c>
      <c r="O25" s="18"/>
      <c r="P25" s="9"/>
      <c r="Q25" s="37">
        <f>SUM(Q9:Q24)</f>
        <v>0</v>
      </c>
      <c r="R25" s="18"/>
      <c r="S25" s="9"/>
      <c r="T25" s="37">
        <f>SUM(T9:T24)</f>
        <v>0</v>
      </c>
      <c r="U25" s="18"/>
      <c r="V25" s="9"/>
      <c r="W25" s="37">
        <f>ROUND(SUM(W9:W24),0)</f>
        <v>0</v>
      </c>
      <c r="X25" s="18"/>
      <c r="Y25" s="9"/>
      <c r="Z25" s="37">
        <f>SUM(Z9:Z24)</f>
        <v>0</v>
      </c>
      <c r="AA25" s="127">
        <f>SUM(AA9:AA24)</f>
        <v>0</v>
      </c>
      <c r="AB25" s="133">
        <f>SUM(AB9:AB24)</f>
        <v>0</v>
      </c>
      <c r="AC25" s="134">
        <f t="shared" ref="AC25:AF25" si="35">SUM(AC9:AC24)</f>
        <v>0</v>
      </c>
      <c r="AD25" s="134">
        <f t="shared" si="35"/>
        <v>0</v>
      </c>
      <c r="AE25" s="134">
        <f t="shared" si="35"/>
        <v>0</v>
      </c>
      <c r="AF25" s="135">
        <f t="shared" si="35"/>
        <v>0</v>
      </c>
      <c r="AG25" s="105" t="s">
        <v>104</v>
      </c>
      <c r="AH25" s="140">
        <f>SUM(AH9:AH24)</f>
        <v>0</v>
      </c>
      <c r="AI25" s="141">
        <f t="shared" ref="AI25:AL25" si="36">SUM(AI9:AI24)</f>
        <v>0</v>
      </c>
      <c r="AJ25" s="141">
        <f t="shared" si="36"/>
        <v>0</v>
      </c>
      <c r="AK25" s="141">
        <f t="shared" si="36"/>
        <v>0</v>
      </c>
      <c r="AL25" s="142">
        <f t="shared" si="36"/>
        <v>0</v>
      </c>
      <c r="AR25" s="93"/>
      <c r="AS25" s="93"/>
      <c r="AT25" s="93"/>
      <c r="AU25" s="93"/>
      <c r="BK25" s="157"/>
      <c r="BL25" s="157"/>
      <c r="BM25" s="11"/>
      <c r="BN25" s="11"/>
      <c r="BO25" s="11"/>
      <c r="BP25" s="157"/>
      <c r="BQ25" s="157"/>
      <c r="BR25" s="157"/>
      <c r="BS25" s="157"/>
      <c r="BT25" s="157"/>
    </row>
    <row r="26" spans="1:73" ht="3" customHeight="1" thickTop="1" x14ac:dyDescent="0.25">
      <c r="H26" s="50"/>
      <c r="L26" s="18"/>
      <c r="M26" s="11"/>
      <c r="N26" s="38"/>
      <c r="O26" s="18"/>
      <c r="P26" s="11"/>
      <c r="Q26" s="38"/>
      <c r="R26" s="18"/>
      <c r="S26" s="11"/>
      <c r="T26" s="38"/>
      <c r="U26" s="18"/>
      <c r="V26" s="11"/>
      <c r="W26" s="38"/>
      <c r="X26" s="18"/>
      <c r="Y26" s="11"/>
      <c r="Z26" s="38"/>
      <c r="AA26" s="45"/>
      <c r="AH26" s="119"/>
      <c r="AI26" s="119"/>
      <c r="AJ26" s="119"/>
      <c r="AK26" s="119"/>
      <c r="AL26" s="119"/>
      <c r="AR26" s="93"/>
      <c r="AS26" s="93"/>
      <c r="AT26" s="93"/>
      <c r="AU26" s="93"/>
      <c r="BK26" s="157"/>
      <c r="BL26" s="157"/>
      <c r="BM26" s="11"/>
      <c r="BN26" s="11"/>
      <c r="BO26" s="11"/>
      <c r="BP26" s="157"/>
      <c r="BQ26" s="157"/>
      <c r="BR26" s="157"/>
      <c r="BS26" s="157"/>
      <c r="BT26" s="157"/>
    </row>
    <row r="27" spans="1:73" ht="29.25" customHeight="1" thickBot="1" x14ac:dyDescent="0.3">
      <c r="A27" t="s">
        <v>15</v>
      </c>
      <c r="B27" s="357" t="s">
        <v>89</v>
      </c>
      <c r="C27" s="357"/>
      <c r="D27" s="357"/>
      <c r="F27" s="52" t="s">
        <v>90</v>
      </c>
      <c r="G27" s="7" t="s">
        <v>32</v>
      </c>
      <c r="H27" s="50"/>
      <c r="I27" t="s">
        <v>452</v>
      </c>
      <c r="L27" s="18"/>
      <c r="M27" s="11"/>
      <c r="N27" s="38"/>
      <c r="O27" s="18"/>
      <c r="P27" s="11"/>
      <c r="Q27" s="38" t="s">
        <v>80</v>
      </c>
      <c r="R27" s="18"/>
      <c r="S27" s="11"/>
      <c r="T27" s="38" t="s">
        <v>80</v>
      </c>
      <c r="U27" s="18"/>
      <c r="V27" s="11"/>
      <c r="W27" s="38" t="s">
        <v>80</v>
      </c>
      <c r="X27" s="18"/>
      <c r="Y27" s="11"/>
      <c r="Z27" s="38" t="str">
        <f t="shared" ref="Z27" si="37">+IF($S$4&gt;4,(($H27*(1+$W$4))*Y27)," ")</f>
        <v xml:space="preserve"> </v>
      </c>
      <c r="AA27" s="45"/>
      <c r="AH27" s="119"/>
      <c r="AI27" s="119"/>
      <c r="AJ27" s="119"/>
      <c r="AK27" s="119"/>
      <c r="AL27" s="119"/>
      <c r="AR27" s="93"/>
      <c r="AS27" s="93"/>
      <c r="AT27" s="93"/>
      <c r="AU27" s="93"/>
      <c r="BK27" s="68"/>
      <c r="BQ27" s="68"/>
      <c r="BR27" s="68"/>
      <c r="BS27" s="68"/>
      <c r="BT27" s="68"/>
    </row>
    <row r="28" spans="1:73" ht="15.75" thickTop="1" x14ac:dyDescent="0.25">
      <c r="B28">
        <v>1</v>
      </c>
      <c r="C28" s="54">
        <v>0</v>
      </c>
      <c r="D28" s="12" t="s">
        <v>262</v>
      </c>
      <c r="E28" s="12"/>
      <c r="F28" s="54" t="s">
        <v>46</v>
      </c>
      <c r="G28" s="12"/>
      <c r="H28" s="55">
        <v>0</v>
      </c>
      <c r="I28" s="90"/>
      <c r="J28" s="91"/>
      <c r="K28" s="91"/>
      <c r="L28" s="76">
        <v>0</v>
      </c>
      <c r="M28" s="29"/>
      <c r="N28" s="39">
        <f>+ROUND((L28*H28)*C28,0)</f>
        <v>0</v>
      </c>
      <c r="O28" s="56">
        <f t="shared" ref="O28:O31" si="38">+IF($S$4&gt;1,L28," ")</f>
        <v>0</v>
      </c>
      <c r="P28" s="29"/>
      <c r="Q28" s="39">
        <f>IF($S$4&gt;1,ROUND(((AR28*O28)*C28),0)," ")</f>
        <v>0</v>
      </c>
      <c r="R28" s="56">
        <f t="shared" ref="R28:R33" si="39">+IF($S$4&gt;2,O28," ")</f>
        <v>0</v>
      </c>
      <c r="S28" s="29"/>
      <c r="T28" s="36">
        <f>IF($S$4&gt;2,ROUND(((AS28*R28)*C28),0)," ")</f>
        <v>0</v>
      </c>
      <c r="U28" s="56" t="str">
        <f t="shared" ref="U28:U33" si="40">+IF($S$4&gt;3,R28," ")</f>
        <v xml:space="preserve"> </v>
      </c>
      <c r="V28" s="29"/>
      <c r="W28" s="39" t="str">
        <f>+IF($S$4&gt;3,ROUND(((AT28*U28)*C28),0)," ")</f>
        <v xml:space="preserve"> </v>
      </c>
      <c r="X28" s="56" t="str">
        <f t="shared" ref="X28:X33" si="41">+IF($S$4&gt;4,U28," ")</f>
        <v xml:space="preserve"> </v>
      </c>
      <c r="Y28" s="29"/>
      <c r="Z28" s="39" t="str">
        <f>IF($S$4&gt;4,ROUND(((AU28*X28)*C28),0)," ")</f>
        <v xml:space="preserve"> </v>
      </c>
      <c r="AA28" s="126">
        <f>ROUND(SUM(N28,Q28,T28,W28,Z28),0)</f>
        <v>0</v>
      </c>
      <c r="AB28" s="143">
        <f>+$C28*L28*12</f>
        <v>0</v>
      </c>
      <c r="AC28" s="144">
        <f>IF($S$4&gt;1,+($O28*12*$C28)," ")</f>
        <v>0</v>
      </c>
      <c r="AD28" s="144">
        <f>IF($S$4&gt;2,+(R28*12*$C28)," ")</f>
        <v>0</v>
      </c>
      <c r="AE28" s="144" t="str">
        <f>IF($S$4&gt;3,+(U28*12*$C28)," ")</f>
        <v xml:space="preserve"> </v>
      </c>
      <c r="AF28" s="145" t="str">
        <f>IF($S$4&gt;4,+(X28*12*$C28)," ")</f>
        <v xml:space="preserve"> </v>
      </c>
      <c r="AH28" s="150">
        <f>+ROUND((($L$39*L28)*C28)+(N28*0.15),0)</f>
        <v>0</v>
      </c>
      <c r="AI28" s="151">
        <f>IF($S$4&gt;1,ROUND(((($L$39*1.05)*C28)*O28)+(Q28*0.15),0)," ")</f>
        <v>0</v>
      </c>
      <c r="AJ28" s="151">
        <f>IF($S$4&gt;2,ROUND(((($L$39*1.1)*R28)*C28)+(T28*0.15),0)," ")</f>
        <v>0</v>
      </c>
      <c r="AK28" s="151" t="str">
        <f>IF($S$4&gt;3,ROUND(((($L$39*1.15)*U28)*C28)+(W28*0.15),0)," ")</f>
        <v xml:space="preserve"> </v>
      </c>
      <c r="AL28" s="152" t="str">
        <f>IF($S$4&gt;4,ROUND(((($L$39*1.2)*X28)*C28)+(Z28*0.15),0)," ")</f>
        <v xml:space="preserve"> </v>
      </c>
      <c r="AR28" s="176">
        <f t="shared" ref="AR28:AR33" si="42">+IF($S$4&gt;1,H28*(1+$W$4),0)</f>
        <v>0</v>
      </c>
      <c r="AS28" s="177">
        <f t="shared" ref="AS28:AS33" si="43">+IF($S$4&gt;2,ROUND(AR28*(1+$W$4),0),0)</f>
        <v>0</v>
      </c>
      <c r="AT28" s="177">
        <f t="shared" ref="AT28:AT33" si="44">+IF($S$4&gt;3,ROUND(AS28*(1+$W$4),0),0)</f>
        <v>0</v>
      </c>
      <c r="AU28" s="178">
        <f t="shared" ref="AU28:AU33" si="45">+IF($S$4&gt;4,ROUND(AT28*(1+$W$4),0),0)</f>
        <v>0</v>
      </c>
      <c r="BK28" s="68"/>
      <c r="BR28" s="68"/>
      <c r="BS28" s="68"/>
      <c r="BT28" s="68"/>
    </row>
    <row r="29" spans="1:73" x14ac:dyDescent="0.25">
      <c r="B29">
        <v>2</v>
      </c>
      <c r="C29" s="54">
        <v>0</v>
      </c>
      <c r="D29" s="86" t="s">
        <v>59</v>
      </c>
      <c r="E29" s="248"/>
      <c r="F29" s="249" t="s">
        <v>46</v>
      </c>
      <c r="G29" s="248"/>
      <c r="H29" s="55">
        <v>0</v>
      </c>
      <c r="I29" s="90"/>
      <c r="J29" s="91"/>
      <c r="K29" s="91"/>
      <c r="L29" s="76">
        <v>0</v>
      </c>
      <c r="M29" s="29"/>
      <c r="N29" s="39">
        <f t="shared" ref="N29:N32" si="46">+ROUNDDOWN((L29*H29)*C29,0)</f>
        <v>0</v>
      </c>
      <c r="O29" s="56">
        <f t="shared" si="38"/>
        <v>0</v>
      </c>
      <c r="P29" s="29"/>
      <c r="Q29" s="39">
        <f t="shared" ref="Q29:Q32" si="47">IF($S$4&gt;1,ROUND(((AR29*O29)*C29),0)," ")</f>
        <v>0</v>
      </c>
      <c r="R29" s="56">
        <f t="shared" si="39"/>
        <v>0</v>
      </c>
      <c r="S29" s="29"/>
      <c r="T29" s="36">
        <f t="shared" ref="T29:T33" si="48">IF($S$4&gt;2,ROUND(((AS29*R29)*C29),0)," ")</f>
        <v>0</v>
      </c>
      <c r="U29" s="56" t="str">
        <f t="shared" si="40"/>
        <v xml:space="preserve"> </v>
      </c>
      <c r="V29" s="29"/>
      <c r="W29" s="39" t="str">
        <f t="shared" ref="W29:W33" si="49">+IF($S$4&gt;3,ROUND(((AT29*U29)*C29),0)," ")</f>
        <v xml:space="preserve"> </v>
      </c>
      <c r="X29" s="56" t="str">
        <f t="shared" si="41"/>
        <v xml:space="preserve"> </v>
      </c>
      <c r="Y29" s="29"/>
      <c r="Z29" s="39" t="str">
        <f t="shared" ref="Z29:Z33" si="50">IF($S$4&gt;4,ROUND(((AU29*X29)*C29),0)," ")</f>
        <v xml:space="preserve"> </v>
      </c>
      <c r="AA29" s="126">
        <f t="shared" ref="AA29:AA32" si="51">ROUNDDOWN(SUM(N29,Q29,T29,W29,Z29),0)</f>
        <v>0</v>
      </c>
      <c r="AB29" s="146">
        <f>+$C29*L29*12</f>
        <v>0</v>
      </c>
      <c r="AC29" s="131">
        <f>IF($S$4&gt;1,+($O29*12*$C29)," ")</f>
        <v>0</v>
      </c>
      <c r="AD29" s="131">
        <f>IF($S$4&gt;2,+(R29*12*$C29)," ")</f>
        <v>0</v>
      </c>
      <c r="AE29" s="131" t="str">
        <f>IF($S$4&gt;3,+(U29*12*$C29)," ")</f>
        <v xml:space="preserve"> </v>
      </c>
      <c r="AF29" s="132" t="str">
        <f>IF($S$4&gt;4,+(X29*12*$C29)," ")</f>
        <v xml:space="preserve"> </v>
      </c>
      <c r="AH29" s="136">
        <f>+ROUND((($L$39*L29)*C29)+(N29*0.15),0)</f>
        <v>0</v>
      </c>
      <c r="AI29" s="137">
        <f>+IF($S$4&gt;1,ROUND(((($L$39*1.05)*C29)*O29)+(Q29*0.15),0)," ")</f>
        <v>0</v>
      </c>
      <c r="AJ29" s="137">
        <f>IF($S$4&gt;2,ROUND(((($L$39*1.1)*R29)*C29)+(T29*0.15),0)," ")</f>
        <v>0</v>
      </c>
      <c r="AK29" s="137" t="str">
        <f>IF($S$4&gt;3,ROUND(((($L$39*1.15)*U29)*C29)+(W29*0.15),0)," ")</f>
        <v xml:space="preserve"> </v>
      </c>
      <c r="AL29" s="138" t="str">
        <f>IF($S$4&gt;4,ROUND(((($L$39*1.2)*X29)*C29)+(Z29*0.15),0)," ")</f>
        <v xml:space="preserve"> </v>
      </c>
      <c r="AR29" s="170">
        <f t="shared" si="42"/>
        <v>0</v>
      </c>
      <c r="AS29" s="171">
        <f t="shared" si="43"/>
        <v>0</v>
      </c>
      <c r="AT29" s="171">
        <f t="shared" si="44"/>
        <v>0</v>
      </c>
      <c r="AU29" s="172">
        <f t="shared" si="45"/>
        <v>0</v>
      </c>
      <c r="BK29" s="68"/>
      <c r="BR29" s="68"/>
      <c r="BS29" s="68"/>
      <c r="BT29" s="68"/>
    </row>
    <row r="30" spans="1:73" ht="29.1" customHeight="1" x14ac:dyDescent="0.25">
      <c r="B30">
        <v>3</v>
      </c>
      <c r="C30" s="54">
        <v>0</v>
      </c>
      <c r="D30" s="13" t="s">
        <v>39</v>
      </c>
      <c r="E30" s="360"/>
      <c r="F30" s="361"/>
      <c r="G30" s="362"/>
      <c r="H30" s="247">
        <f>+IF(I30="PHD 12 mo",HLOOKUP(E30,'GA Rates'!D2:V20,4,FALSE))+IF(I30="PHD 9 mo",HLOOKUP(E30,'GA Rates'!D2:V20,8,FALSE))+IF(I30="MS 12 mo",HLOOKUP(E30,'GA Rates'!D2:V20,13,FALSE))+IF(I30="MS 9 mo",HLOOKUP(E30,'GA Rates'!D2:V20,17,FALSE))</f>
        <v>0</v>
      </c>
      <c r="I30" s="358"/>
      <c r="J30" s="359"/>
      <c r="K30" s="91"/>
      <c r="L30" s="76">
        <v>0</v>
      </c>
      <c r="M30" s="29"/>
      <c r="N30" s="39">
        <f>+ROUNDDOWN((L30*H30)*C30,0)</f>
        <v>0</v>
      </c>
      <c r="O30" s="56">
        <f t="shared" si="38"/>
        <v>0</v>
      </c>
      <c r="P30" s="29"/>
      <c r="Q30" s="39">
        <f t="shared" si="47"/>
        <v>0</v>
      </c>
      <c r="R30" s="56">
        <f t="shared" si="39"/>
        <v>0</v>
      </c>
      <c r="S30" s="29"/>
      <c r="T30" s="36">
        <f t="shared" si="48"/>
        <v>0</v>
      </c>
      <c r="U30" s="56" t="str">
        <f>+IF($S$4&gt;3,R30," ")</f>
        <v xml:space="preserve"> </v>
      </c>
      <c r="V30" s="29"/>
      <c r="W30" s="39" t="str">
        <f t="shared" si="49"/>
        <v xml:space="preserve"> </v>
      </c>
      <c r="X30" s="56" t="str">
        <f t="shared" si="41"/>
        <v xml:space="preserve"> </v>
      </c>
      <c r="Y30" s="29"/>
      <c r="Z30" s="39" t="str">
        <f t="shared" si="50"/>
        <v xml:space="preserve"> </v>
      </c>
      <c r="AA30" s="126">
        <f t="shared" si="51"/>
        <v>0</v>
      </c>
      <c r="AB30" s="146">
        <f>+$C30*L30*12</f>
        <v>0</v>
      </c>
      <c r="AC30" s="131">
        <f>IF($S$4&gt;1,+($O30*12*$C30)," ")</f>
        <v>0</v>
      </c>
      <c r="AD30" s="131">
        <f>IF($S$4&gt;2,+(R30*12*$C30)," ")</f>
        <v>0</v>
      </c>
      <c r="AE30" s="131" t="str">
        <f>IF($S$4&gt;3,+(U30*12*$C30)," ")</f>
        <v xml:space="preserve"> </v>
      </c>
      <c r="AF30" s="132" t="str">
        <f>IF($S$4&gt;4,+(X30*12*$C30)," ")</f>
        <v xml:space="preserve"> </v>
      </c>
      <c r="AH30" s="136">
        <f>+ROUND((N30*$BP$10),0)</f>
        <v>0</v>
      </c>
      <c r="AI30" s="137">
        <f>IF($S$4&gt;1,ROUND(((Q30*$BP$10)),0),"")</f>
        <v>0</v>
      </c>
      <c r="AJ30" s="137">
        <f>IF($S$4&gt;2,ROUND(((T30*$BP$10)),0),"")</f>
        <v>0</v>
      </c>
      <c r="AK30" s="137" t="str">
        <f>IF($S$4&gt;3,ROUND(((W30*$BP$10)),0),"")</f>
        <v/>
      </c>
      <c r="AL30" s="138" t="str">
        <f>IF($S$4&gt;4,ROUND(((Z30*$BP$10)),0),"")</f>
        <v/>
      </c>
      <c r="AR30" s="170">
        <f t="shared" si="42"/>
        <v>0</v>
      </c>
      <c r="AS30" s="171">
        <f t="shared" si="43"/>
        <v>0</v>
      </c>
      <c r="AT30" s="171">
        <f t="shared" si="44"/>
        <v>0</v>
      </c>
      <c r="AU30" s="172">
        <f t="shared" si="45"/>
        <v>0</v>
      </c>
      <c r="BK30" s="68"/>
      <c r="BR30" s="68"/>
      <c r="BS30" s="68"/>
      <c r="BT30" s="68"/>
    </row>
    <row r="31" spans="1:73" ht="29.1" customHeight="1" x14ac:dyDescent="0.25">
      <c r="B31">
        <v>4</v>
      </c>
      <c r="C31" s="54">
        <v>0</v>
      </c>
      <c r="D31" s="12" t="s">
        <v>39</v>
      </c>
      <c r="E31" s="360"/>
      <c r="F31" s="361"/>
      <c r="G31" s="362"/>
      <c r="H31" s="247">
        <f>+IF(I31="PHD 12 mo",HLOOKUP(E31,'GA Rates'!D2:V21,4,FALSE))+IF(I31="PHD 9 mo",HLOOKUP(E31,'GA Rates'!D2:V21,8,FALSE))+IF(I31="MS 12 mo",HLOOKUP(E31,'GA Rates'!D2:V21,13,FALSE))+IF(I31="MS 9 mo",HLOOKUP(E31,'GA Rates'!D2:V21,17,FALSE))</f>
        <v>0</v>
      </c>
      <c r="I31" s="358"/>
      <c r="J31" s="359"/>
      <c r="K31" s="91"/>
      <c r="L31" s="76">
        <v>0</v>
      </c>
      <c r="M31" s="29"/>
      <c r="N31" s="39">
        <f t="shared" si="46"/>
        <v>0</v>
      </c>
      <c r="O31" s="56">
        <f t="shared" si="38"/>
        <v>0</v>
      </c>
      <c r="P31" s="29"/>
      <c r="Q31" s="39">
        <f t="shared" si="47"/>
        <v>0</v>
      </c>
      <c r="R31" s="56">
        <f t="shared" si="39"/>
        <v>0</v>
      </c>
      <c r="S31" s="29"/>
      <c r="T31" s="36">
        <f t="shared" si="48"/>
        <v>0</v>
      </c>
      <c r="U31" s="56" t="str">
        <f t="shared" si="40"/>
        <v xml:space="preserve"> </v>
      </c>
      <c r="V31" s="29"/>
      <c r="W31" s="39" t="str">
        <f t="shared" si="49"/>
        <v xml:space="preserve"> </v>
      </c>
      <c r="X31" s="56" t="str">
        <f t="shared" si="41"/>
        <v xml:space="preserve"> </v>
      </c>
      <c r="Y31" s="29"/>
      <c r="Z31" s="39" t="str">
        <f t="shared" si="50"/>
        <v xml:space="preserve"> </v>
      </c>
      <c r="AA31" s="126">
        <f t="shared" si="51"/>
        <v>0</v>
      </c>
      <c r="AB31" s="146">
        <f>+$C31*L31*12</f>
        <v>0</v>
      </c>
      <c r="AC31" s="131">
        <f>IF($S$4&gt;1,+($O31*12*$C31)," ")</f>
        <v>0</v>
      </c>
      <c r="AD31" s="131">
        <f>IF($S$4&gt;2,+(R31*12*$C31)," ")</f>
        <v>0</v>
      </c>
      <c r="AE31" s="131" t="str">
        <f>IF($S$4&gt;3,+(U31*12*$C31)," ")</f>
        <v xml:space="preserve"> </v>
      </c>
      <c r="AF31" s="132" t="str">
        <f>IF($S$4&gt;4,+(X31*12*$C31)," ")</f>
        <v xml:space="preserve"> </v>
      </c>
      <c r="AH31" s="136">
        <f>+ROUND((N31*$BP$10),0)</f>
        <v>0</v>
      </c>
      <c r="AI31" s="137">
        <f>IF($S$4&gt;1,ROUND(((Q31*$BP$10)),0),"")</f>
        <v>0</v>
      </c>
      <c r="AJ31" s="137">
        <f>IF($S$4&gt;2,ROUND(((T31*$BP$10)),0),"")</f>
        <v>0</v>
      </c>
      <c r="AK31" s="137" t="str">
        <f>IF($S$4&gt;3,ROUND(((W31*$BP$10)),0),"")</f>
        <v/>
      </c>
      <c r="AL31" s="138" t="str">
        <f>IF($S$4&gt;4,ROUND(((Z31*$BP$10)),0),"")</f>
        <v/>
      </c>
      <c r="AR31" s="170">
        <f t="shared" si="42"/>
        <v>0</v>
      </c>
      <c r="AS31" s="171">
        <f t="shared" si="43"/>
        <v>0</v>
      </c>
      <c r="AT31" s="171">
        <f t="shared" si="44"/>
        <v>0</v>
      </c>
      <c r="AU31" s="172">
        <f t="shared" si="45"/>
        <v>0</v>
      </c>
      <c r="BK31" s="68"/>
      <c r="BR31" s="68"/>
      <c r="BS31" s="68"/>
      <c r="BT31" s="68"/>
    </row>
    <row r="32" spans="1:73" x14ac:dyDescent="0.25">
      <c r="B32">
        <v>5</v>
      </c>
      <c r="C32" s="54">
        <v>0</v>
      </c>
      <c r="D32" s="12" t="s">
        <v>40</v>
      </c>
      <c r="E32" s="12"/>
      <c r="F32" s="12"/>
      <c r="G32" s="12"/>
      <c r="H32" s="57">
        <v>0</v>
      </c>
      <c r="I32" s="90"/>
      <c r="J32" s="91"/>
      <c r="K32" s="91"/>
      <c r="L32" s="94">
        <v>0</v>
      </c>
      <c r="M32" s="29"/>
      <c r="N32" s="39">
        <f t="shared" si="46"/>
        <v>0</v>
      </c>
      <c r="O32" s="62">
        <f>+IF($S$4&gt;1,L32," ")</f>
        <v>0</v>
      </c>
      <c r="P32" s="29"/>
      <c r="Q32" s="39">
        <f t="shared" si="47"/>
        <v>0</v>
      </c>
      <c r="R32" s="62">
        <f t="shared" si="39"/>
        <v>0</v>
      </c>
      <c r="S32" s="29"/>
      <c r="T32" s="36">
        <f t="shared" si="48"/>
        <v>0</v>
      </c>
      <c r="U32" s="62" t="str">
        <f t="shared" si="40"/>
        <v xml:space="preserve"> </v>
      </c>
      <c r="V32" s="29"/>
      <c r="W32" s="39" t="str">
        <f t="shared" si="49"/>
        <v xml:space="preserve"> </v>
      </c>
      <c r="X32" s="62" t="str">
        <f t="shared" si="41"/>
        <v xml:space="preserve"> </v>
      </c>
      <c r="Y32" s="29"/>
      <c r="Z32" s="39" t="str">
        <f t="shared" si="50"/>
        <v xml:space="preserve"> </v>
      </c>
      <c r="AA32" s="126">
        <f t="shared" si="51"/>
        <v>0</v>
      </c>
      <c r="AB32" s="146">
        <f>+IF(C32&gt;0,(L32/$C$32)/2080,0)</f>
        <v>0</v>
      </c>
      <c r="AC32" s="131">
        <f>IF(C32&gt;0,IF($S$4&gt;1,+((O32/C32)/2080)," "),0)</f>
        <v>0</v>
      </c>
      <c r="AD32" s="131">
        <f>IF(C32&gt;0,IF($S$4&gt;2,+((R32/$C$32)/2080)," "),0)</f>
        <v>0</v>
      </c>
      <c r="AE32" s="131">
        <f>IF(C32&gt;0,IF($S$4&gt;3,+((U32/$C$32)/2080)," "),0)</f>
        <v>0</v>
      </c>
      <c r="AF32" s="132">
        <f>IF(C32&gt;0,IF($S$4&gt;4,+((X32/$C$32)/2080)," "),0)</f>
        <v>0</v>
      </c>
      <c r="AH32" s="136">
        <f>+ROUND(N32*BP10,0)</f>
        <v>0</v>
      </c>
      <c r="AI32" s="137">
        <f>IF($S$4&gt;1,ROUND((Q32*$BP$10),0))</f>
        <v>0</v>
      </c>
      <c r="AJ32" s="137">
        <f>IF($S$4&gt;2,ROUND((T32*$BP$10),0))</f>
        <v>0</v>
      </c>
      <c r="AK32" s="137" t="b">
        <f>IF($S$4&gt;3,ROUND((W32*$BP$10),0))</f>
        <v>0</v>
      </c>
      <c r="AL32" s="138" t="b">
        <f>IF($S$4&gt;4,ROUND((Z32*$BP$10),0))</f>
        <v>0</v>
      </c>
      <c r="AR32" s="179">
        <f t="shared" si="42"/>
        <v>0</v>
      </c>
      <c r="AS32" s="180">
        <f>+IF($S$4&gt;2,ROUND(AR32*(1+$W$4),2),0)</f>
        <v>0</v>
      </c>
      <c r="AT32" s="180">
        <f>+IF($S$4&gt;3,ROUND(AS32*(1+W4),2),0)</f>
        <v>0</v>
      </c>
      <c r="AU32" s="181">
        <f>+IF($S$4&gt;4,ROUND(AT32*(1+$W$4),2),0)</f>
        <v>0</v>
      </c>
      <c r="BK32" s="68"/>
      <c r="BR32" s="68"/>
      <c r="BS32" s="68"/>
      <c r="BT32" s="68"/>
    </row>
    <row r="33" spans="1:72" ht="30.75" thickBot="1" x14ac:dyDescent="0.3">
      <c r="B33">
        <v>6</v>
      </c>
      <c r="C33" s="54">
        <v>0</v>
      </c>
      <c r="D33" s="87" t="s">
        <v>41</v>
      </c>
      <c r="E33" s="12"/>
      <c r="F33" s="54" t="s">
        <v>46</v>
      </c>
      <c r="G33" s="12"/>
      <c r="H33" s="61">
        <v>0</v>
      </c>
      <c r="I33" s="90"/>
      <c r="J33" s="91"/>
      <c r="K33" s="91"/>
      <c r="L33" s="92">
        <v>0</v>
      </c>
      <c r="M33" s="29"/>
      <c r="N33" s="63">
        <f>+ROUND((L33*H33)*C33,0)</f>
        <v>0</v>
      </c>
      <c r="O33" s="62">
        <f>+IF($S$4&gt;1,L33," ")</f>
        <v>0</v>
      </c>
      <c r="P33" s="29"/>
      <c r="Q33" s="63">
        <f>+IF($S$4&gt;1,ROUND(((AR33*O33)*C33),0)," ")</f>
        <v>0</v>
      </c>
      <c r="R33" s="62">
        <f t="shared" si="39"/>
        <v>0</v>
      </c>
      <c r="S33" s="29"/>
      <c r="T33" s="63">
        <f t="shared" si="48"/>
        <v>0</v>
      </c>
      <c r="U33" s="62" t="str">
        <f t="shared" si="40"/>
        <v xml:space="preserve"> </v>
      </c>
      <c r="V33" s="29"/>
      <c r="W33" s="63" t="str">
        <f t="shared" si="49"/>
        <v xml:space="preserve"> </v>
      </c>
      <c r="X33" s="62" t="str">
        <f t="shared" si="41"/>
        <v xml:space="preserve"> </v>
      </c>
      <c r="Y33" s="29"/>
      <c r="Z33" s="63" t="str">
        <f t="shared" si="50"/>
        <v xml:space="preserve"> </v>
      </c>
      <c r="AA33" s="126">
        <f t="shared" ref="AA33" si="52">SUM(N33,Q33,T33,W33,Z33)</f>
        <v>0</v>
      </c>
      <c r="AB33" s="147">
        <f>+$C33*L33*12</f>
        <v>0</v>
      </c>
      <c r="AC33" s="148">
        <f>IF($S$4&gt;1,+($O33*12*$C33)," ")</f>
        <v>0</v>
      </c>
      <c r="AD33" s="148">
        <f>IF($S$4&gt;2,+(R33*12*$C33)," ")</f>
        <v>0</v>
      </c>
      <c r="AE33" s="148" t="str">
        <f>IF($S$4&gt;3,+(U33*12*$C33)," ")</f>
        <v xml:space="preserve"> </v>
      </c>
      <c r="AF33" s="149" t="str">
        <f>IF($S$4&gt;4,+(X33*12*$C33)," ")</f>
        <v xml:space="preserve"> </v>
      </c>
      <c r="AH33" s="136">
        <f>+ROUND((($L$39*L33)*C33)+(N33*0.15),0)</f>
        <v>0</v>
      </c>
      <c r="AI33" s="137">
        <f>IF($S$4&gt;1,ROUND(((Q33*$BP$10)*$C$33),0)," ")</f>
        <v>0</v>
      </c>
      <c r="AJ33" s="137">
        <f>IF($S$4&gt;2,ROUND(((T33*$BP$10)*$C$33),0)," ")</f>
        <v>0</v>
      </c>
      <c r="AK33" s="137" t="str">
        <f>IF($S$4&gt;3,ROUND(((W33*$BP$10)*$C$33),0)," ")</f>
        <v xml:space="preserve"> </v>
      </c>
      <c r="AL33" s="138" t="str">
        <f>IF($S$4&gt;4,ROUND(((Z33*$BP$10)*$C$33),0)," ")</f>
        <v xml:space="preserve"> </v>
      </c>
      <c r="AR33" s="173">
        <f t="shared" si="42"/>
        <v>0</v>
      </c>
      <c r="AS33" s="174">
        <f t="shared" si="43"/>
        <v>0</v>
      </c>
      <c r="AT33" s="174">
        <f t="shared" si="44"/>
        <v>0</v>
      </c>
      <c r="AU33" s="175">
        <f t="shared" si="45"/>
        <v>0</v>
      </c>
      <c r="BK33" s="68"/>
      <c r="BR33" s="68"/>
      <c r="BS33" s="68"/>
      <c r="BT33" s="68"/>
    </row>
    <row r="34" spans="1:72" ht="16.5" thickTop="1" thickBot="1" x14ac:dyDescent="0.3">
      <c r="C34" s="7" t="s">
        <v>91</v>
      </c>
      <c r="L34" s="17"/>
      <c r="M34" s="9"/>
      <c r="N34" s="37">
        <f>SUM(N27:N33)</f>
        <v>0</v>
      </c>
      <c r="O34" s="18"/>
      <c r="P34" s="9"/>
      <c r="Q34" s="37">
        <f>SUM(Q27:Q33)</f>
        <v>0</v>
      </c>
      <c r="R34" s="18"/>
      <c r="S34" s="9"/>
      <c r="T34" s="37">
        <f>SUM(T27:T33)</f>
        <v>0</v>
      </c>
      <c r="U34" s="18"/>
      <c r="V34" s="9"/>
      <c r="W34" s="37">
        <f>SUM(W27:W33)</f>
        <v>0</v>
      </c>
      <c r="X34" s="18"/>
      <c r="Y34" s="9"/>
      <c r="Z34" s="37">
        <f>SUM(Z27:Z33)</f>
        <v>0</v>
      </c>
      <c r="AA34" s="44">
        <f>SUM(AA27:AA33)</f>
        <v>0</v>
      </c>
      <c r="AG34" s="105" t="s">
        <v>104</v>
      </c>
      <c r="AH34" s="140">
        <f>SUM(AH28:AH33)</f>
        <v>0</v>
      </c>
      <c r="AI34" s="141">
        <f t="shared" ref="AI34:AL34" si="53">SUM(AI28:AI33)</f>
        <v>0</v>
      </c>
      <c r="AJ34" s="141">
        <f t="shared" si="53"/>
        <v>0</v>
      </c>
      <c r="AK34" s="141">
        <f t="shared" si="53"/>
        <v>0</v>
      </c>
      <c r="AL34" s="142">
        <f t="shared" si="53"/>
        <v>0</v>
      </c>
      <c r="BK34" s="68"/>
      <c r="BR34" s="68"/>
      <c r="BS34" s="68"/>
      <c r="BT34" s="68"/>
    </row>
    <row r="35" spans="1:72" ht="5.25" customHeight="1" thickTop="1" x14ac:dyDescent="0.25">
      <c r="L35" s="18"/>
      <c r="M35" s="11"/>
      <c r="N35" s="38"/>
      <c r="O35" s="18"/>
      <c r="P35" s="11"/>
      <c r="Q35" s="38"/>
      <c r="R35" s="18"/>
      <c r="S35" s="11"/>
      <c r="T35" s="38"/>
      <c r="U35" s="18"/>
      <c r="V35" s="11"/>
      <c r="W35" s="38"/>
      <c r="X35" s="18"/>
      <c r="Y35" s="11"/>
      <c r="Z35" s="38"/>
      <c r="AA35" s="45"/>
      <c r="AL35" t="s">
        <v>80</v>
      </c>
      <c r="BK35" s="68"/>
      <c r="BR35" s="68"/>
      <c r="BS35" s="68"/>
      <c r="BT35" s="68"/>
    </row>
    <row r="36" spans="1:72" x14ac:dyDescent="0.25">
      <c r="C36" s="7" t="s">
        <v>42</v>
      </c>
      <c r="L36" s="18"/>
      <c r="M36" s="11"/>
      <c r="N36" s="40">
        <f>+N34+N25</f>
        <v>0</v>
      </c>
      <c r="O36" s="18"/>
      <c r="P36" s="11"/>
      <c r="Q36" s="40">
        <f>+Q34+Q25</f>
        <v>0</v>
      </c>
      <c r="R36" s="18"/>
      <c r="S36" s="11"/>
      <c r="T36" s="40">
        <f>+T34+T25</f>
        <v>0</v>
      </c>
      <c r="U36" s="18"/>
      <c r="V36" s="11"/>
      <c r="W36" s="40">
        <f>+W34+W25</f>
        <v>0</v>
      </c>
      <c r="X36" s="18"/>
      <c r="Y36" s="11"/>
      <c r="Z36" s="40">
        <f>+Z34+Z25</f>
        <v>0</v>
      </c>
      <c r="AA36" s="46">
        <f>+AA34+AA25</f>
        <v>0</v>
      </c>
      <c r="AH36" t="s">
        <v>322</v>
      </c>
      <c r="BK36" s="68"/>
      <c r="BR36" s="68"/>
      <c r="BS36" s="68"/>
      <c r="BT36" s="68"/>
    </row>
    <row r="37" spans="1:72" ht="8.25" customHeight="1" x14ac:dyDescent="0.25">
      <c r="L37" s="18"/>
      <c r="M37" s="11"/>
      <c r="N37" s="38"/>
      <c r="O37" s="18"/>
      <c r="P37" s="11"/>
      <c r="Q37" s="38"/>
      <c r="R37" s="18"/>
      <c r="S37" s="11"/>
      <c r="T37" s="38"/>
      <c r="U37" s="18"/>
      <c r="V37" s="11"/>
      <c r="W37" s="38"/>
      <c r="X37" s="18"/>
      <c r="Y37" s="11"/>
      <c r="Z37" s="38"/>
      <c r="AA37" s="45"/>
      <c r="BK37" s="68"/>
      <c r="BR37" s="68"/>
      <c r="BS37" s="68"/>
      <c r="BT37" s="68"/>
    </row>
    <row r="38" spans="1:72" x14ac:dyDescent="0.25">
      <c r="A38" t="s">
        <v>43</v>
      </c>
      <c r="B38" s="7" t="s">
        <v>44</v>
      </c>
      <c r="L38" s="18"/>
      <c r="M38" s="11"/>
      <c r="N38" s="38"/>
      <c r="O38" s="18"/>
      <c r="P38" s="11"/>
      <c r="Q38" s="38"/>
      <c r="R38" s="18"/>
      <c r="S38" s="11"/>
      <c r="T38" s="38"/>
      <c r="U38" s="18"/>
      <c r="V38" s="11"/>
      <c r="W38" s="38"/>
      <c r="X38" s="18"/>
      <c r="Y38" s="11"/>
      <c r="Z38" s="38"/>
      <c r="AA38" s="45"/>
      <c r="BK38" s="68"/>
      <c r="BR38" s="68"/>
      <c r="BS38" s="68"/>
      <c r="BT38" s="68"/>
    </row>
    <row r="39" spans="1:72" x14ac:dyDescent="0.25">
      <c r="B39">
        <v>1</v>
      </c>
      <c r="C39" s="12" t="s">
        <v>92</v>
      </c>
      <c r="D39" s="13"/>
      <c r="E39" s="27" t="s">
        <v>45</v>
      </c>
      <c r="F39" s="28"/>
      <c r="G39" s="12"/>
      <c r="H39" s="13"/>
      <c r="I39" s="27"/>
      <c r="J39" s="27"/>
      <c r="K39" s="27"/>
      <c r="L39" s="53">
        <f>+VLOOKUP(O4,BM9:BN24,2,FALSE)</f>
        <v>8894</v>
      </c>
      <c r="M39" s="12"/>
      <c r="N39" s="36">
        <f>+AH25</f>
        <v>0</v>
      </c>
      <c r="O39" s="24"/>
      <c r="P39" s="12"/>
      <c r="Q39" s="36">
        <f>+AI25</f>
        <v>0</v>
      </c>
      <c r="R39" s="24"/>
      <c r="S39" s="12"/>
      <c r="T39" s="36">
        <f>+AJ25</f>
        <v>0</v>
      </c>
      <c r="U39" s="24"/>
      <c r="V39" s="12"/>
      <c r="W39" s="36">
        <f>+AK25</f>
        <v>0</v>
      </c>
      <c r="X39" s="24"/>
      <c r="Y39" s="12"/>
      <c r="Z39" s="36">
        <f>+AL25</f>
        <v>0</v>
      </c>
      <c r="AA39" s="43">
        <f t="shared" ref="AA39:AA40" si="54">SUM(N39,Q39,T39,W39,Z39)</f>
        <v>0</v>
      </c>
    </row>
    <row r="40" spans="1:72" x14ac:dyDescent="0.25">
      <c r="B40">
        <v>2</v>
      </c>
      <c r="C40" s="13" t="s">
        <v>93</v>
      </c>
      <c r="D40" s="27"/>
      <c r="E40" s="27"/>
      <c r="F40" s="27"/>
      <c r="G40" s="27"/>
      <c r="H40" s="27"/>
      <c r="I40" s="27"/>
      <c r="J40" s="27"/>
      <c r="K40" s="27"/>
      <c r="L40" s="24"/>
      <c r="M40" s="12"/>
      <c r="N40" s="39">
        <f>+AH34</f>
        <v>0</v>
      </c>
      <c r="O40" s="24"/>
      <c r="P40" s="12"/>
      <c r="Q40" s="39">
        <f>+AI34</f>
        <v>0</v>
      </c>
      <c r="R40" s="24"/>
      <c r="S40" s="12"/>
      <c r="T40" s="39">
        <f>+AJ34</f>
        <v>0</v>
      </c>
      <c r="U40" s="24"/>
      <c r="V40" s="12"/>
      <c r="W40" s="39">
        <f>+AK34</f>
        <v>0</v>
      </c>
      <c r="X40" s="24"/>
      <c r="Y40" s="12"/>
      <c r="Z40" s="39">
        <f>+AL34</f>
        <v>0</v>
      </c>
      <c r="AA40" s="43">
        <f t="shared" si="54"/>
        <v>0</v>
      </c>
    </row>
    <row r="41" spans="1:72" x14ac:dyDescent="0.25">
      <c r="C41" s="7" t="s">
        <v>48</v>
      </c>
      <c r="L41" s="18"/>
      <c r="M41" s="11"/>
      <c r="N41" s="40">
        <f>SUM(N39:N40)</f>
        <v>0</v>
      </c>
      <c r="O41" s="18"/>
      <c r="P41" s="11"/>
      <c r="Q41" s="40">
        <f>SUM(Q39:Q40)</f>
        <v>0</v>
      </c>
      <c r="R41" s="18"/>
      <c r="S41" s="11"/>
      <c r="T41" s="40">
        <f>SUM(T39:T40)</f>
        <v>0</v>
      </c>
      <c r="U41" s="18"/>
      <c r="V41" s="11"/>
      <c r="W41" s="40">
        <f>SUM(W39:W40)</f>
        <v>0</v>
      </c>
      <c r="X41" s="18"/>
      <c r="Y41" s="11"/>
      <c r="Z41" s="40">
        <f>SUM(Z39:Z40)</f>
        <v>0</v>
      </c>
      <c r="AA41" s="46">
        <f>SUM(AA39:AA40)</f>
        <v>0</v>
      </c>
    </row>
    <row r="42" spans="1:72" ht="5.25" customHeight="1" x14ac:dyDescent="0.25">
      <c r="L42" s="18"/>
      <c r="M42" s="11"/>
      <c r="N42" s="38"/>
      <c r="O42" s="18"/>
      <c r="P42" s="11"/>
      <c r="Q42" s="38"/>
      <c r="R42" s="18"/>
      <c r="S42" s="11"/>
      <c r="T42" s="38"/>
      <c r="U42" s="18"/>
      <c r="V42" s="11"/>
      <c r="W42" s="38"/>
      <c r="X42" s="18"/>
      <c r="Y42" s="11"/>
      <c r="Z42" s="38"/>
      <c r="AA42" s="45"/>
    </row>
    <row r="43" spans="1:72" x14ac:dyDescent="0.25">
      <c r="C43" s="7" t="s">
        <v>49</v>
      </c>
      <c r="L43" s="18"/>
      <c r="M43" s="11"/>
      <c r="N43" s="40">
        <f>+N41+N36</f>
        <v>0</v>
      </c>
      <c r="O43" s="18"/>
      <c r="P43" s="11"/>
      <c r="Q43" s="40">
        <f>+Q41+Q36</f>
        <v>0</v>
      </c>
      <c r="R43" s="18"/>
      <c r="S43" s="11"/>
      <c r="T43" s="40">
        <f>+T41+T36</f>
        <v>0</v>
      </c>
      <c r="U43" s="18"/>
      <c r="V43" s="11"/>
      <c r="W43" s="40">
        <f>+W41+W36</f>
        <v>0</v>
      </c>
      <c r="X43" s="18"/>
      <c r="Y43" s="11"/>
      <c r="Z43" s="40">
        <f>+Z41+Z36</f>
        <v>0</v>
      </c>
      <c r="AA43" s="46">
        <f>+AA41+AA36</f>
        <v>0</v>
      </c>
    </row>
    <row r="44" spans="1:72" ht="6" customHeight="1" x14ac:dyDescent="0.25">
      <c r="L44" s="18"/>
      <c r="M44" s="11"/>
      <c r="N44" s="38"/>
      <c r="O44" s="18"/>
      <c r="P44" s="11"/>
      <c r="Q44" s="38"/>
      <c r="R44" s="18"/>
      <c r="S44" s="11"/>
      <c r="T44" s="38"/>
      <c r="U44" s="18"/>
      <c r="V44" s="11"/>
      <c r="W44" s="38"/>
      <c r="X44" s="18"/>
      <c r="Y44" s="11"/>
      <c r="Z44" s="38"/>
      <c r="AA44" s="45"/>
    </row>
    <row r="45" spans="1:72" x14ac:dyDescent="0.25">
      <c r="A45" t="s">
        <v>50</v>
      </c>
      <c r="B45" s="7" t="s">
        <v>148</v>
      </c>
      <c r="L45" s="18"/>
      <c r="M45" s="11"/>
      <c r="N45" s="38"/>
      <c r="O45" s="18"/>
      <c r="P45" s="11"/>
      <c r="Q45" s="38"/>
      <c r="R45" s="18"/>
      <c r="S45" s="11"/>
      <c r="T45" s="38"/>
      <c r="U45" s="18"/>
      <c r="V45" s="11"/>
      <c r="W45" s="38"/>
      <c r="X45" s="18"/>
      <c r="Y45" s="11"/>
      <c r="Z45" s="38"/>
      <c r="AA45" s="45"/>
    </row>
    <row r="46" spans="1:72" x14ac:dyDescent="0.25">
      <c r="C46" s="356" t="s">
        <v>173</v>
      </c>
      <c r="D46" s="356"/>
      <c r="E46" s="356"/>
      <c r="F46" s="356"/>
      <c r="G46" s="356"/>
      <c r="H46" s="356"/>
      <c r="I46" s="356"/>
      <c r="J46" s="356"/>
      <c r="K46" s="10"/>
      <c r="L46" s="19"/>
      <c r="M46" s="20"/>
      <c r="N46" s="64">
        <v>0</v>
      </c>
      <c r="O46" s="18"/>
      <c r="P46" s="11"/>
      <c r="Q46" s="64">
        <v>0</v>
      </c>
      <c r="R46" s="18"/>
      <c r="S46" s="11"/>
      <c r="T46" s="64">
        <v>0</v>
      </c>
      <c r="U46" s="18"/>
      <c r="V46" s="11"/>
      <c r="W46" s="64">
        <v>0</v>
      </c>
      <c r="X46" s="18"/>
      <c r="Y46" s="11"/>
      <c r="Z46" s="64">
        <v>0</v>
      </c>
      <c r="AA46" s="44">
        <f t="shared" ref="AA46" si="55">SUM(N46,Q46,T46,W46,Z46)</f>
        <v>0</v>
      </c>
    </row>
    <row r="47" spans="1:72" ht="4.5" customHeight="1" x14ac:dyDescent="0.25">
      <c r="L47" s="18"/>
      <c r="M47" s="11"/>
      <c r="N47" s="38"/>
      <c r="O47" s="18"/>
      <c r="P47" s="11"/>
      <c r="Q47" s="38"/>
      <c r="R47" s="18"/>
      <c r="S47" s="11"/>
      <c r="T47" s="38"/>
      <c r="U47" s="18"/>
      <c r="V47" s="11"/>
      <c r="W47" s="38"/>
      <c r="X47" s="18"/>
      <c r="Y47" s="11"/>
      <c r="Z47" s="38"/>
      <c r="AA47" s="45"/>
    </row>
    <row r="48" spans="1:72" x14ac:dyDescent="0.25">
      <c r="A48" t="s">
        <v>51</v>
      </c>
      <c r="B48" s="7" t="s">
        <v>52</v>
      </c>
      <c r="L48" s="18"/>
      <c r="M48" s="11"/>
      <c r="N48" s="38"/>
      <c r="O48" s="18"/>
      <c r="P48" s="11"/>
      <c r="Q48" s="38"/>
      <c r="R48" s="18"/>
      <c r="S48" s="11"/>
      <c r="T48" s="38"/>
      <c r="U48" s="18"/>
      <c r="V48" s="11"/>
      <c r="W48" s="38"/>
      <c r="X48" s="18"/>
      <c r="Y48" s="11"/>
      <c r="Z48" s="38"/>
      <c r="AA48" s="45"/>
    </row>
    <row r="49" spans="1:27" x14ac:dyDescent="0.25">
      <c r="B49">
        <v>1</v>
      </c>
      <c r="C49" s="12" t="s">
        <v>94</v>
      </c>
      <c r="D49" s="12"/>
      <c r="E49" s="12"/>
      <c r="F49" s="12"/>
      <c r="G49" s="12"/>
      <c r="H49" s="13"/>
      <c r="I49" s="27"/>
      <c r="J49" s="27"/>
      <c r="K49" s="27"/>
      <c r="L49" s="24"/>
      <c r="M49" s="12"/>
      <c r="N49" s="63">
        <v>0</v>
      </c>
      <c r="O49" s="24"/>
      <c r="P49" s="12"/>
      <c r="Q49" s="63">
        <v>0</v>
      </c>
      <c r="R49" s="24"/>
      <c r="S49" s="12"/>
      <c r="T49" s="63">
        <v>0</v>
      </c>
      <c r="U49" s="24"/>
      <c r="V49" s="12"/>
      <c r="W49" s="63">
        <v>0</v>
      </c>
      <c r="X49" s="24"/>
      <c r="Y49" s="12"/>
      <c r="Z49" s="63">
        <v>0</v>
      </c>
      <c r="AA49" s="43">
        <f t="shared" ref="AA49:AA50" si="56">SUM(N49,Q49,T49,W49,Z49)</f>
        <v>0</v>
      </c>
    </row>
    <row r="50" spans="1:27" x14ac:dyDescent="0.25">
      <c r="B50">
        <v>2</v>
      </c>
      <c r="C50" s="12" t="s">
        <v>53</v>
      </c>
      <c r="D50" s="13"/>
      <c r="E50" s="27"/>
      <c r="F50" s="27"/>
      <c r="G50" s="27"/>
      <c r="H50" s="27"/>
      <c r="I50" s="27"/>
      <c r="J50" s="27"/>
      <c r="K50" s="27"/>
      <c r="L50" s="24"/>
      <c r="M50" s="12"/>
      <c r="N50" s="63">
        <v>0</v>
      </c>
      <c r="O50" s="24"/>
      <c r="P50" s="12"/>
      <c r="Q50" s="63">
        <v>0</v>
      </c>
      <c r="R50" s="24"/>
      <c r="S50" s="12"/>
      <c r="T50" s="63">
        <v>0</v>
      </c>
      <c r="U50" s="24"/>
      <c r="V50" s="12"/>
      <c r="W50" s="63">
        <v>0</v>
      </c>
      <c r="X50" s="24"/>
      <c r="Y50" s="12"/>
      <c r="Z50" s="63">
        <v>0</v>
      </c>
      <c r="AA50" s="43">
        <f t="shared" si="56"/>
        <v>0</v>
      </c>
    </row>
    <row r="51" spans="1:27" x14ac:dyDescent="0.25">
      <c r="C51" s="7" t="s">
        <v>54</v>
      </c>
      <c r="L51" s="18"/>
      <c r="M51" s="11"/>
      <c r="N51" s="41">
        <f>SUM(N49:N50)</f>
        <v>0</v>
      </c>
      <c r="O51" s="23"/>
      <c r="P51" s="5"/>
      <c r="Q51" s="41">
        <f>SUM(Q49:Q50)</f>
        <v>0</v>
      </c>
      <c r="R51" s="23"/>
      <c r="S51" s="5"/>
      <c r="T51" s="41">
        <f>SUM(T49:T50)</f>
        <v>0</v>
      </c>
      <c r="U51" s="23"/>
      <c r="V51" s="5"/>
      <c r="W51" s="41">
        <f>SUM(W49:W50)</f>
        <v>0</v>
      </c>
      <c r="X51" s="23"/>
      <c r="Y51" s="5"/>
      <c r="Z51" s="41">
        <f>SUM(Z49:Z50)</f>
        <v>0</v>
      </c>
      <c r="AA51" s="47">
        <f>SUM(AA49:AA50)</f>
        <v>0</v>
      </c>
    </row>
    <row r="52" spans="1:27" ht="5.25" customHeight="1" x14ac:dyDescent="0.25">
      <c r="L52" s="18"/>
      <c r="M52" s="11"/>
      <c r="N52" s="38"/>
      <c r="O52" s="18"/>
      <c r="P52" s="11"/>
      <c r="Q52" s="38"/>
      <c r="R52" s="18"/>
      <c r="S52" s="11"/>
      <c r="T52" s="38"/>
      <c r="U52" s="18"/>
      <c r="V52" s="11"/>
      <c r="W52" s="38"/>
      <c r="X52" s="18"/>
      <c r="Y52" s="11"/>
      <c r="Z52" s="38"/>
      <c r="AA52" s="45"/>
    </row>
    <row r="53" spans="1:27" x14ac:dyDescent="0.25">
      <c r="A53" t="s">
        <v>55</v>
      </c>
      <c r="B53" s="7" t="s">
        <v>56</v>
      </c>
      <c r="E53" s="200" t="s">
        <v>323</v>
      </c>
      <c r="L53" s="18"/>
      <c r="M53" s="11"/>
      <c r="N53" s="38"/>
      <c r="O53" s="18"/>
      <c r="P53" s="11"/>
      <c r="Q53" s="38"/>
      <c r="R53" s="18"/>
      <c r="S53" s="11"/>
      <c r="T53" s="38"/>
      <c r="U53" s="18"/>
      <c r="V53" s="11"/>
      <c r="W53" s="38"/>
      <c r="X53" s="18"/>
      <c r="Y53" s="11"/>
      <c r="Z53" s="38"/>
      <c r="AA53" s="45"/>
    </row>
    <row r="54" spans="1:27" x14ac:dyDescent="0.25">
      <c r="B54">
        <v>1</v>
      </c>
      <c r="C54" s="12" t="s">
        <v>57</v>
      </c>
      <c r="D54" s="13"/>
      <c r="E54" s="27"/>
      <c r="F54" s="27"/>
      <c r="G54" s="28"/>
      <c r="H54" s="196" t="s">
        <v>46</v>
      </c>
      <c r="I54" s="13"/>
      <c r="J54" s="27"/>
      <c r="K54" s="27"/>
      <c r="L54" s="24"/>
      <c r="M54" s="12"/>
      <c r="N54" s="63">
        <v>0</v>
      </c>
      <c r="O54" s="24"/>
      <c r="P54" s="12"/>
      <c r="Q54" s="63">
        <v>0</v>
      </c>
      <c r="R54" s="24"/>
      <c r="S54" s="12"/>
      <c r="T54" s="63">
        <v>0</v>
      </c>
      <c r="U54" s="24"/>
      <c r="V54" s="12"/>
      <c r="W54" s="63">
        <v>0</v>
      </c>
      <c r="X54" s="24"/>
      <c r="Y54" s="12"/>
      <c r="Z54" s="63">
        <v>0</v>
      </c>
      <c r="AA54" s="43">
        <f t="shared" ref="AA54:AA57" si="57">SUM(N54,Q54,T54,W54,Z54)</f>
        <v>0</v>
      </c>
    </row>
    <row r="55" spans="1:27" x14ac:dyDescent="0.25">
      <c r="B55">
        <v>2</v>
      </c>
      <c r="C55" s="13" t="s">
        <v>52</v>
      </c>
      <c r="D55" s="27"/>
      <c r="E55" s="27"/>
      <c r="F55" s="27"/>
      <c r="G55" s="28"/>
      <c r="H55" s="196" t="s">
        <v>46</v>
      </c>
      <c r="I55" s="13"/>
      <c r="J55" s="27"/>
      <c r="K55" s="27"/>
      <c r="L55" s="24"/>
      <c r="M55" s="12"/>
      <c r="N55" s="63">
        <v>0</v>
      </c>
      <c r="O55" s="24"/>
      <c r="P55" s="12"/>
      <c r="Q55" s="63">
        <v>0</v>
      </c>
      <c r="R55" s="24"/>
      <c r="S55" s="12"/>
      <c r="T55" s="63">
        <v>0</v>
      </c>
      <c r="U55" s="24"/>
      <c r="V55" s="12"/>
      <c r="W55" s="63">
        <v>0</v>
      </c>
      <c r="X55" s="24"/>
      <c r="Y55" s="12"/>
      <c r="Z55" s="63">
        <v>0</v>
      </c>
      <c r="AA55" s="43">
        <f t="shared" si="57"/>
        <v>0</v>
      </c>
    </row>
    <row r="56" spans="1:27" x14ac:dyDescent="0.25">
      <c r="B56">
        <v>3</v>
      </c>
      <c r="C56" s="12" t="s">
        <v>58</v>
      </c>
      <c r="D56" s="13"/>
      <c r="E56" s="27"/>
      <c r="F56" s="27"/>
      <c r="G56" s="28"/>
      <c r="H56" s="196" t="s">
        <v>46</v>
      </c>
      <c r="I56" s="13"/>
      <c r="J56" s="27"/>
      <c r="K56" s="27"/>
      <c r="L56" s="24"/>
      <c r="M56" s="12"/>
      <c r="N56" s="63">
        <v>0</v>
      </c>
      <c r="O56" s="24"/>
      <c r="P56" s="12"/>
      <c r="Q56" s="63">
        <v>0</v>
      </c>
      <c r="R56" s="24"/>
      <c r="S56" s="12"/>
      <c r="T56" s="63">
        <v>0</v>
      </c>
      <c r="U56" s="24"/>
      <c r="V56" s="12"/>
      <c r="W56" s="63">
        <v>0</v>
      </c>
      <c r="X56" s="24"/>
      <c r="Y56" s="12"/>
      <c r="Z56" s="63">
        <v>0</v>
      </c>
      <c r="AA56" s="43">
        <f t="shared" si="57"/>
        <v>0</v>
      </c>
    </row>
    <row r="57" spans="1:27" x14ac:dyDescent="0.25">
      <c r="B57">
        <v>4</v>
      </c>
      <c r="C57" s="13" t="s">
        <v>59</v>
      </c>
      <c r="D57" s="27"/>
      <c r="E57" s="27"/>
      <c r="F57" s="27"/>
      <c r="G57" s="28"/>
      <c r="H57" s="196" t="s">
        <v>46</v>
      </c>
      <c r="I57" s="13"/>
      <c r="J57" s="27"/>
      <c r="K57" s="27"/>
      <c r="L57" s="24"/>
      <c r="M57" s="12"/>
      <c r="N57" s="63">
        <v>0</v>
      </c>
      <c r="O57" s="24"/>
      <c r="P57" s="12"/>
      <c r="Q57" s="63">
        <v>0</v>
      </c>
      <c r="R57" s="24"/>
      <c r="S57" s="12"/>
      <c r="T57" s="63">
        <v>0</v>
      </c>
      <c r="U57" s="24"/>
      <c r="V57" s="12"/>
      <c r="W57" s="63">
        <v>0</v>
      </c>
      <c r="X57" s="24"/>
      <c r="Y57" s="12"/>
      <c r="Z57" s="63">
        <v>0</v>
      </c>
      <c r="AA57" s="43">
        <f t="shared" si="57"/>
        <v>0</v>
      </c>
    </row>
    <row r="58" spans="1:27" x14ac:dyDescent="0.25">
      <c r="C58" s="65">
        <v>10</v>
      </c>
      <c r="D58" t="s">
        <v>61</v>
      </c>
      <c r="L58" s="18"/>
      <c r="M58" s="11"/>
      <c r="N58" s="41">
        <f>SUM(N54:N57)</f>
        <v>0</v>
      </c>
      <c r="O58" s="23"/>
      <c r="P58" s="5"/>
      <c r="Q58" s="41">
        <f>SUM(Q54:Q57)</f>
        <v>0</v>
      </c>
      <c r="R58" s="23"/>
      <c r="S58" s="5"/>
      <c r="T58" s="41">
        <f>SUM(T54:T57)</f>
        <v>0</v>
      </c>
      <c r="U58" s="23"/>
      <c r="V58" s="5"/>
      <c r="W58" s="41">
        <f>SUM(W54:W57)</f>
        <v>0</v>
      </c>
      <c r="X58" s="23"/>
      <c r="Y58" s="5"/>
      <c r="Z58" s="41">
        <f>SUM(Z54:Z57)</f>
        <v>0</v>
      </c>
      <c r="AA58" s="47">
        <f>SUM(AA54:AA57)</f>
        <v>0</v>
      </c>
    </row>
    <row r="59" spans="1:27" ht="6.75" customHeight="1" x14ac:dyDescent="0.25">
      <c r="L59" s="18"/>
      <c r="M59" s="11"/>
      <c r="N59" s="38"/>
      <c r="O59" s="18"/>
      <c r="P59" s="11"/>
      <c r="Q59" s="38"/>
      <c r="R59" s="18"/>
      <c r="S59" s="11"/>
      <c r="T59" s="38"/>
      <c r="U59" s="18"/>
      <c r="V59" s="11"/>
      <c r="W59" s="38"/>
      <c r="X59" s="18"/>
      <c r="Y59" s="11"/>
      <c r="Z59" s="38"/>
      <c r="AA59" s="45"/>
    </row>
    <row r="60" spans="1:27" x14ac:dyDescent="0.25">
      <c r="A60" t="s">
        <v>62</v>
      </c>
      <c r="B60" s="7" t="s">
        <v>63</v>
      </c>
      <c r="L60" s="18"/>
      <c r="M60" s="11"/>
      <c r="N60" s="38"/>
      <c r="O60" s="18"/>
      <c r="P60" s="11"/>
      <c r="Q60" s="38"/>
      <c r="R60" s="18"/>
      <c r="S60" s="11"/>
      <c r="T60" s="38"/>
      <c r="U60" s="18"/>
      <c r="V60" s="11"/>
      <c r="W60" s="38"/>
      <c r="X60" s="18"/>
      <c r="Y60" s="11"/>
      <c r="Z60" s="38"/>
      <c r="AA60" s="45"/>
    </row>
    <row r="61" spans="1:27" x14ac:dyDescent="0.25">
      <c r="B61">
        <v>1</v>
      </c>
      <c r="C61" s="12" t="s">
        <v>64</v>
      </c>
      <c r="D61" s="13"/>
      <c r="E61" s="27"/>
      <c r="F61" s="27"/>
      <c r="G61" s="27"/>
      <c r="H61" s="27"/>
      <c r="I61" s="27"/>
      <c r="J61" s="27"/>
      <c r="K61" s="27"/>
      <c r="L61" s="24"/>
      <c r="M61" s="12"/>
      <c r="N61" s="63">
        <v>0</v>
      </c>
      <c r="O61" s="24"/>
      <c r="P61" s="12"/>
      <c r="Q61" s="63">
        <v>0</v>
      </c>
      <c r="R61" s="24"/>
      <c r="S61" s="12"/>
      <c r="T61" s="63">
        <v>0</v>
      </c>
      <c r="U61" s="24"/>
      <c r="V61" s="12"/>
      <c r="W61" s="63">
        <v>0</v>
      </c>
      <c r="X61" s="24"/>
      <c r="Y61" s="12"/>
      <c r="Z61" s="63">
        <v>0</v>
      </c>
      <c r="AA61" s="43">
        <f t="shared" ref="AA61:AA64" si="58">SUM(N61,Q61,T61,W61,Z61)</f>
        <v>0</v>
      </c>
    </row>
    <row r="62" spans="1:27" x14ac:dyDescent="0.25">
      <c r="B62">
        <v>2</v>
      </c>
      <c r="C62" s="12" t="s">
        <v>65</v>
      </c>
      <c r="D62" s="13"/>
      <c r="E62" s="27"/>
      <c r="F62" s="27"/>
      <c r="G62" s="27"/>
      <c r="H62" s="27"/>
      <c r="I62" s="27"/>
      <c r="J62" s="27"/>
      <c r="K62" s="27"/>
      <c r="L62" s="24"/>
      <c r="M62" s="12"/>
      <c r="N62" s="63">
        <v>0</v>
      </c>
      <c r="O62" s="24"/>
      <c r="P62" s="12"/>
      <c r="Q62" s="63">
        <v>0</v>
      </c>
      <c r="R62" s="24"/>
      <c r="S62" s="12"/>
      <c r="T62" s="63">
        <v>0</v>
      </c>
      <c r="U62" s="24"/>
      <c r="V62" s="12"/>
      <c r="W62" s="63">
        <v>0</v>
      </c>
      <c r="X62" s="24"/>
      <c r="Y62" s="12"/>
      <c r="Z62" s="63">
        <v>0</v>
      </c>
      <c r="AA62" s="43">
        <f t="shared" si="58"/>
        <v>0</v>
      </c>
    </row>
    <row r="63" spans="1:27" x14ac:dyDescent="0.25">
      <c r="B63">
        <v>3</v>
      </c>
      <c r="C63" s="12" t="s">
        <v>124</v>
      </c>
      <c r="D63" s="13"/>
      <c r="E63" s="27"/>
      <c r="F63" s="27"/>
      <c r="G63" s="27"/>
      <c r="H63" s="27"/>
      <c r="I63" s="27"/>
      <c r="J63" s="27"/>
      <c r="K63" s="27"/>
      <c r="L63" s="24"/>
      <c r="M63" s="12"/>
      <c r="N63" s="63">
        <v>0</v>
      </c>
      <c r="O63" s="24"/>
      <c r="P63" s="12"/>
      <c r="Q63" s="63">
        <v>0</v>
      </c>
      <c r="R63" s="24"/>
      <c r="S63" s="12"/>
      <c r="T63" s="63">
        <v>0</v>
      </c>
      <c r="U63" s="24"/>
      <c r="V63" s="12"/>
      <c r="W63" s="63">
        <v>0</v>
      </c>
      <c r="X63" s="24"/>
      <c r="Y63" s="12"/>
      <c r="Z63" s="63">
        <v>0</v>
      </c>
      <c r="AA63" s="43">
        <f t="shared" si="58"/>
        <v>0</v>
      </c>
    </row>
    <row r="64" spans="1:27" x14ac:dyDescent="0.25">
      <c r="B64">
        <v>4</v>
      </c>
      <c r="C64" s="12" t="s">
        <v>66</v>
      </c>
      <c r="D64" s="13"/>
      <c r="E64" s="27"/>
      <c r="F64" s="27"/>
      <c r="G64" s="27"/>
      <c r="H64" s="27"/>
      <c r="I64" s="27"/>
      <c r="J64" s="27"/>
      <c r="K64" s="27"/>
      <c r="L64" s="24"/>
      <c r="M64" s="12"/>
      <c r="N64" s="63">
        <v>0</v>
      </c>
      <c r="O64" s="24"/>
      <c r="P64" s="12"/>
      <c r="Q64" s="63">
        <v>0</v>
      </c>
      <c r="R64" s="24"/>
      <c r="S64" s="12"/>
      <c r="T64" s="63">
        <v>0</v>
      </c>
      <c r="U64" s="24"/>
      <c r="V64" s="12"/>
      <c r="W64" s="63">
        <v>0</v>
      </c>
      <c r="X64" s="24"/>
      <c r="Y64" s="12"/>
      <c r="Z64" s="63">
        <v>0</v>
      </c>
      <c r="AA64" s="43">
        <f t="shared" si="58"/>
        <v>0</v>
      </c>
    </row>
    <row r="65" spans="2:27" x14ac:dyDescent="0.25">
      <c r="B65">
        <v>5</v>
      </c>
      <c r="C65" t="s">
        <v>147</v>
      </c>
      <c r="L65" s="18"/>
      <c r="M65" s="11"/>
      <c r="N65" s="38"/>
      <c r="O65" s="18"/>
      <c r="P65" s="11"/>
      <c r="Q65" s="38"/>
      <c r="R65" s="18"/>
      <c r="S65" s="11"/>
      <c r="T65" s="38"/>
      <c r="U65" s="18"/>
      <c r="V65" s="11"/>
      <c r="W65" s="38"/>
      <c r="X65" s="18"/>
      <c r="Y65" s="11"/>
      <c r="Z65" s="38"/>
      <c r="AA65" s="45"/>
    </row>
    <row r="66" spans="2:27" x14ac:dyDescent="0.25">
      <c r="C66" s="12" t="s">
        <v>67</v>
      </c>
      <c r="D66" s="353"/>
      <c r="E66" s="354"/>
      <c r="F66" s="354"/>
      <c r="G66" s="354"/>
      <c r="H66" s="354"/>
      <c r="I66" s="354"/>
      <c r="J66" s="355"/>
      <c r="K66" s="13"/>
      <c r="L66" s="24"/>
      <c r="M66" s="12"/>
      <c r="N66" s="63">
        <v>0</v>
      </c>
      <c r="O66" s="24"/>
      <c r="P66" s="12"/>
      <c r="Q66" s="63">
        <v>0</v>
      </c>
      <c r="R66" s="24"/>
      <c r="S66" s="12"/>
      <c r="T66" s="63">
        <v>0</v>
      </c>
      <c r="U66" s="24"/>
      <c r="V66" s="12"/>
      <c r="W66" s="63">
        <v>0</v>
      </c>
      <c r="X66" s="24"/>
      <c r="Y66" s="12"/>
      <c r="Z66" s="63">
        <v>0</v>
      </c>
      <c r="AA66" s="43">
        <f t="shared" ref="AA66" si="59">SUM(N66,Q66,T66,W66,Z66)</f>
        <v>0</v>
      </c>
    </row>
    <row r="67" spans="2:27" x14ac:dyDescent="0.25">
      <c r="C67" s="12" t="s">
        <v>68</v>
      </c>
      <c r="D67" s="353"/>
      <c r="E67" s="354"/>
      <c r="F67" s="354"/>
      <c r="G67" s="354"/>
      <c r="H67" s="354"/>
      <c r="I67" s="354"/>
      <c r="J67" s="355"/>
      <c r="K67" s="13"/>
      <c r="L67" s="24"/>
      <c r="M67" s="12"/>
      <c r="N67" s="63">
        <v>0</v>
      </c>
      <c r="O67" s="24"/>
      <c r="P67" s="12"/>
      <c r="Q67" s="63">
        <v>0</v>
      </c>
      <c r="R67" s="24"/>
      <c r="S67" s="12"/>
      <c r="T67" s="63">
        <v>0</v>
      </c>
      <c r="U67" s="24"/>
      <c r="V67" s="12"/>
      <c r="W67" s="63">
        <v>0</v>
      </c>
      <c r="X67" s="24"/>
      <c r="Y67" s="12"/>
      <c r="Z67" s="63">
        <v>0</v>
      </c>
      <c r="AA67" s="43">
        <f t="shared" ref="AA67:AA87" si="60">SUM(N67,Q67,T67,W67,Z67)</f>
        <v>0</v>
      </c>
    </row>
    <row r="68" spans="2:27" x14ac:dyDescent="0.25">
      <c r="C68" s="12" t="s">
        <v>69</v>
      </c>
      <c r="D68" s="95"/>
      <c r="E68" s="96"/>
      <c r="F68" s="96"/>
      <c r="G68" s="96"/>
      <c r="H68" s="96"/>
      <c r="I68" s="96"/>
      <c r="J68" s="97"/>
      <c r="K68" s="13"/>
      <c r="L68" s="24"/>
      <c r="M68" s="12"/>
      <c r="N68" s="63">
        <v>0</v>
      </c>
      <c r="O68" s="24"/>
      <c r="P68" s="12"/>
      <c r="Q68" s="63">
        <v>0</v>
      </c>
      <c r="R68" s="24"/>
      <c r="S68" s="12"/>
      <c r="T68" s="63">
        <v>0</v>
      </c>
      <c r="U68" s="24"/>
      <c r="V68" s="12"/>
      <c r="W68" s="63">
        <v>0</v>
      </c>
      <c r="X68" s="24"/>
      <c r="Y68" s="12"/>
      <c r="Z68" s="63">
        <v>0</v>
      </c>
      <c r="AA68" s="43">
        <f t="shared" si="60"/>
        <v>0</v>
      </c>
    </row>
    <row r="69" spans="2:27" x14ac:dyDescent="0.25">
      <c r="C69" s="12" t="s">
        <v>70</v>
      </c>
      <c r="D69" s="95"/>
      <c r="E69" s="96"/>
      <c r="F69" s="96"/>
      <c r="G69" s="96"/>
      <c r="H69" s="96"/>
      <c r="I69" s="96"/>
      <c r="J69" s="97"/>
      <c r="K69" s="13"/>
      <c r="L69" s="24"/>
      <c r="M69" s="12"/>
      <c r="N69" s="63">
        <v>0</v>
      </c>
      <c r="O69" s="24"/>
      <c r="P69" s="12"/>
      <c r="Q69" s="63">
        <v>0</v>
      </c>
      <c r="R69" s="24"/>
      <c r="S69" s="12"/>
      <c r="T69" s="63">
        <v>0</v>
      </c>
      <c r="U69" s="24"/>
      <c r="V69" s="12"/>
      <c r="W69" s="63">
        <v>0</v>
      </c>
      <c r="X69" s="24"/>
      <c r="Y69" s="12"/>
      <c r="Z69" s="63">
        <v>0</v>
      </c>
      <c r="AA69" s="43">
        <f t="shared" si="60"/>
        <v>0</v>
      </c>
    </row>
    <row r="70" spans="2:27" x14ac:dyDescent="0.25">
      <c r="C70" s="12" t="s">
        <v>153</v>
      </c>
      <c r="D70" s="95"/>
      <c r="E70" s="96"/>
      <c r="F70" s="96"/>
      <c r="G70" s="96"/>
      <c r="H70" s="96"/>
      <c r="I70" s="96"/>
      <c r="J70" s="97"/>
      <c r="K70" s="13"/>
      <c r="L70" s="24"/>
      <c r="M70" s="12"/>
      <c r="N70" s="63">
        <v>0</v>
      </c>
      <c r="O70" s="24"/>
      <c r="P70" s="12"/>
      <c r="Q70" s="63">
        <v>0</v>
      </c>
      <c r="R70" s="24"/>
      <c r="S70" s="12"/>
      <c r="T70" s="63">
        <v>0</v>
      </c>
      <c r="U70" s="24"/>
      <c r="V70" s="12"/>
      <c r="W70" s="63">
        <v>0</v>
      </c>
      <c r="X70" s="24"/>
      <c r="Y70" s="12"/>
      <c r="Z70" s="63">
        <v>0</v>
      </c>
      <c r="AA70" s="43">
        <f t="shared" si="60"/>
        <v>0</v>
      </c>
    </row>
    <row r="71" spans="2:27" hidden="1" x14ac:dyDescent="0.25">
      <c r="C71" s="12" t="s">
        <v>154</v>
      </c>
      <c r="D71" s="95"/>
      <c r="E71" s="96"/>
      <c r="F71" s="96"/>
      <c r="G71" s="96"/>
      <c r="H71" s="96"/>
      <c r="I71" s="96"/>
      <c r="J71" s="97"/>
      <c r="K71" s="13"/>
      <c r="L71" s="24"/>
      <c r="M71" s="12"/>
      <c r="N71" s="63">
        <v>0</v>
      </c>
      <c r="O71" s="24"/>
      <c r="P71" s="12"/>
      <c r="Q71" s="63">
        <v>0</v>
      </c>
      <c r="R71" s="24"/>
      <c r="S71" s="12"/>
      <c r="T71" s="63">
        <v>0</v>
      </c>
      <c r="U71" s="24"/>
      <c r="V71" s="12"/>
      <c r="W71" s="63">
        <v>0</v>
      </c>
      <c r="X71" s="24"/>
      <c r="Y71" s="12"/>
      <c r="Z71" s="63">
        <v>0</v>
      </c>
      <c r="AA71" s="43">
        <f t="shared" si="60"/>
        <v>0</v>
      </c>
    </row>
    <row r="72" spans="2:27" hidden="1" x14ac:dyDescent="0.25">
      <c r="C72" s="12" t="s">
        <v>155</v>
      </c>
      <c r="D72" s="95"/>
      <c r="E72" s="96"/>
      <c r="F72" s="96"/>
      <c r="G72" s="96"/>
      <c r="H72" s="96"/>
      <c r="I72" s="96"/>
      <c r="J72" s="97"/>
      <c r="K72" s="13"/>
      <c r="L72" s="24"/>
      <c r="M72" s="12"/>
      <c r="N72" s="63">
        <v>0</v>
      </c>
      <c r="O72" s="24"/>
      <c r="P72" s="12"/>
      <c r="Q72" s="63">
        <v>0</v>
      </c>
      <c r="R72" s="24"/>
      <c r="S72" s="12"/>
      <c r="T72" s="63">
        <v>0</v>
      </c>
      <c r="U72" s="24"/>
      <c r="V72" s="12"/>
      <c r="W72" s="63">
        <v>0</v>
      </c>
      <c r="X72" s="24"/>
      <c r="Y72" s="12"/>
      <c r="Z72" s="63">
        <v>0</v>
      </c>
      <c r="AA72" s="43">
        <f t="shared" si="60"/>
        <v>0</v>
      </c>
    </row>
    <row r="73" spans="2:27" hidden="1" x14ac:dyDescent="0.25">
      <c r="C73" s="12" t="s">
        <v>156</v>
      </c>
      <c r="D73" s="95"/>
      <c r="E73" s="96"/>
      <c r="F73" s="96"/>
      <c r="G73" s="96"/>
      <c r="H73" s="96"/>
      <c r="I73" s="96"/>
      <c r="J73" s="97"/>
      <c r="K73" s="13"/>
      <c r="L73" s="24"/>
      <c r="M73" s="12"/>
      <c r="N73" s="63">
        <v>0</v>
      </c>
      <c r="O73" s="24"/>
      <c r="P73" s="12"/>
      <c r="Q73" s="63">
        <v>0</v>
      </c>
      <c r="R73" s="24"/>
      <c r="S73" s="12"/>
      <c r="T73" s="63">
        <v>0</v>
      </c>
      <c r="U73" s="24"/>
      <c r="V73" s="12"/>
      <c r="W73" s="63">
        <v>0</v>
      </c>
      <c r="X73" s="24"/>
      <c r="Y73" s="12"/>
      <c r="Z73" s="63">
        <v>0</v>
      </c>
      <c r="AA73" s="43">
        <f t="shared" si="60"/>
        <v>0</v>
      </c>
    </row>
    <row r="74" spans="2:27" hidden="1" x14ac:dyDescent="0.25">
      <c r="C74" s="12" t="s">
        <v>157</v>
      </c>
      <c r="D74" s="95"/>
      <c r="E74" s="96"/>
      <c r="F74" s="96"/>
      <c r="G74" s="96"/>
      <c r="H74" s="96"/>
      <c r="I74" s="96"/>
      <c r="J74" s="97"/>
      <c r="K74" s="13"/>
      <c r="L74" s="24"/>
      <c r="M74" s="12"/>
      <c r="N74" s="63">
        <v>0</v>
      </c>
      <c r="O74" s="24"/>
      <c r="P74" s="12"/>
      <c r="Q74" s="63">
        <v>0</v>
      </c>
      <c r="R74" s="24"/>
      <c r="S74" s="12"/>
      <c r="T74" s="63">
        <v>0</v>
      </c>
      <c r="U74" s="24"/>
      <c r="V74" s="12"/>
      <c r="W74" s="63">
        <v>0</v>
      </c>
      <c r="X74" s="24"/>
      <c r="Y74" s="12"/>
      <c r="Z74" s="63">
        <v>0</v>
      </c>
      <c r="AA74" s="43">
        <f t="shared" si="60"/>
        <v>0</v>
      </c>
    </row>
    <row r="75" spans="2:27" hidden="1" x14ac:dyDescent="0.25">
      <c r="C75" s="12" t="s">
        <v>158</v>
      </c>
      <c r="D75" s="95"/>
      <c r="E75" s="96"/>
      <c r="F75" s="96"/>
      <c r="G75" s="96"/>
      <c r="H75" s="96"/>
      <c r="I75" s="96"/>
      <c r="J75" s="97"/>
      <c r="K75" s="13"/>
      <c r="L75" s="24"/>
      <c r="M75" s="12"/>
      <c r="N75" s="63">
        <v>0</v>
      </c>
      <c r="O75" s="24"/>
      <c r="P75" s="12"/>
      <c r="Q75" s="63">
        <v>0</v>
      </c>
      <c r="R75" s="24"/>
      <c r="S75" s="12"/>
      <c r="T75" s="63">
        <v>0</v>
      </c>
      <c r="U75" s="24"/>
      <c r="V75" s="12"/>
      <c r="W75" s="63">
        <v>0</v>
      </c>
      <c r="X75" s="24"/>
      <c r="Y75" s="12"/>
      <c r="Z75" s="63">
        <v>0</v>
      </c>
      <c r="AA75" s="43">
        <f t="shared" si="60"/>
        <v>0</v>
      </c>
    </row>
    <row r="76" spans="2:27" hidden="1" x14ac:dyDescent="0.25">
      <c r="C76" s="12" t="s">
        <v>159</v>
      </c>
      <c r="D76" s="95"/>
      <c r="E76" s="96"/>
      <c r="F76" s="96"/>
      <c r="G76" s="96"/>
      <c r="H76" s="96"/>
      <c r="I76" s="96"/>
      <c r="J76" s="97"/>
      <c r="K76" s="13"/>
      <c r="L76" s="24"/>
      <c r="M76" s="12"/>
      <c r="N76" s="63">
        <v>0</v>
      </c>
      <c r="O76" s="24"/>
      <c r="P76" s="12"/>
      <c r="Q76" s="63">
        <v>0</v>
      </c>
      <c r="R76" s="24"/>
      <c r="S76" s="12"/>
      <c r="T76" s="63">
        <v>0</v>
      </c>
      <c r="U76" s="24"/>
      <c r="V76" s="12"/>
      <c r="W76" s="63">
        <v>0</v>
      </c>
      <c r="X76" s="24"/>
      <c r="Y76" s="12"/>
      <c r="Z76" s="63">
        <v>0</v>
      </c>
      <c r="AA76" s="43">
        <f t="shared" si="60"/>
        <v>0</v>
      </c>
    </row>
    <row r="77" spans="2:27" hidden="1" x14ac:dyDescent="0.25">
      <c r="C77" s="12" t="s">
        <v>160</v>
      </c>
      <c r="D77" s="95"/>
      <c r="E77" s="96"/>
      <c r="F77" s="96"/>
      <c r="G77" s="96"/>
      <c r="H77" s="96"/>
      <c r="I77" s="96"/>
      <c r="J77" s="97"/>
      <c r="K77" s="13"/>
      <c r="L77" s="24"/>
      <c r="M77" s="12"/>
      <c r="N77" s="63">
        <v>0</v>
      </c>
      <c r="O77" s="24"/>
      <c r="P77" s="12"/>
      <c r="Q77" s="63">
        <v>0</v>
      </c>
      <c r="R77" s="24"/>
      <c r="S77" s="12"/>
      <c r="T77" s="63">
        <v>0</v>
      </c>
      <c r="U77" s="24"/>
      <c r="V77" s="12"/>
      <c r="W77" s="63">
        <v>0</v>
      </c>
      <c r="X77" s="24"/>
      <c r="Y77" s="12"/>
      <c r="Z77" s="63">
        <v>0</v>
      </c>
      <c r="AA77" s="43">
        <f t="shared" si="60"/>
        <v>0</v>
      </c>
    </row>
    <row r="78" spans="2:27" hidden="1" x14ac:dyDescent="0.25">
      <c r="C78" s="12" t="s">
        <v>161</v>
      </c>
      <c r="D78" s="95"/>
      <c r="E78" s="96"/>
      <c r="F78" s="96"/>
      <c r="G78" s="96"/>
      <c r="H78" s="96"/>
      <c r="I78" s="96"/>
      <c r="J78" s="97"/>
      <c r="K78" s="13"/>
      <c r="L78" s="24"/>
      <c r="M78" s="12"/>
      <c r="N78" s="63">
        <v>0</v>
      </c>
      <c r="O78" s="24"/>
      <c r="P78" s="12"/>
      <c r="Q78" s="63">
        <v>0</v>
      </c>
      <c r="R78" s="24"/>
      <c r="S78" s="12"/>
      <c r="T78" s="63">
        <v>0</v>
      </c>
      <c r="U78" s="24"/>
      <c r="V78" s="12"/>
      <c r="W78" s="63">
        <v>0</v>
      </c>
      <c r="X78" s="24"/>
      <c r="Y78" s="12"/>
      <c r="Z78" s="63">
        <v>0</v>
      </c>
      <c r="AA78" s="43">
        <f t="shared" si="60"/>
        <v>0</v>
      </c>
    </row>
    <row r="79" spans="2:27" hidden="1" x14ac:dyDescent="0.25">
      <c r="C79" s="12" t="s">
        <v>162</v>
      </c>
      <c r="D79" s="95"/>
      <c r="E79" s="96"/>
      <c r="F79" s="96"/>
      <c r="G79" s="96"/>
      <c r="H79" s="96"/>
      <c r="I79" s="96"/>
      <c r="J79" s="97"/>
      <c r="K79" s="13"/>
      <c r="L79" s="24"/>
      <c r="M79" s="12"/>
      <c r="N79" s="63">
        <v>0</v>
      </c>
      <c r="O79" s="24"/>
      <c r="P79" s="12"/>
      <c r="Q79" s="63">
        <v>0</v>
      </c>
      <c r="R79" s="24"/>
      <c r="S79" s="12"/>
      <c r="T79" s="63">
        <v>0</v>
      </c>
      <c r="U79" s="24"/>
      <c r="V79" s="12"/>
      <c r="W79" s="63">
        <v>0</v>
      </c>
      <c r="X79" s="24"/>
      <c r="Y79" s="12"/>
      <c r="Z79" s="63">
        <v>0</v>
      </c>
      <c r="AA79" s="43">
        <f t="shared" si="60"/>
        <v>0</v>
      </c>
    </row>
    <row r="80" spans="2:27" hidden="1" x14ac:dyDescent="0.25">
      <c r="C80" s="12" t="s">
        <v>163</v>
      </c>
      <c r="D80" s="95"/>
      <c r="E80" s="96"/>
      <c r="F80" s="96"/>
      <c r="G80" s="96"/>
      <c r="H80" s="96"/>
      <c r="I80" s="96"/>
      <c r="J80" s="97"/>
      <c r="K80" s="13"/>
      <c r="L80" s="24"/>
      <c r="M80" s="12"/>
      <c r="N80" s="63">
        <v>0</v>
      </c>
      <c r="O80" s="24"/>
      <c r="P80" s="12"/>
      <c r="Q80" s="63">
        <v>0</v>
      </c>
      <c r="R80" s="24"/>
      <c r="S80" s="12"/>
      <c r="T80" s="63">
        <v>0</v>
      </c>
      <c r="U80" s="24"/>
      <c r="V80" s="12"/>
      <c r="W80" s="63">
        <v>0</v>
      </c>
      <c r="X80" s="24"/>
      <c r="Y80" s="12"/>
      <c r="Z80" s="63">
        <v>0</v>
      </c>
      <c r="AA80" s="43">
        <f t="shared" si="60"/>
        <v>0</v>
      </c>
    </row>
    <row r="81" spans="1:28" hidden="1" x14ac:dyDescent="0.25">
      <c r="C81" s="12" t="s">
        <v>164</v>
      </c>
      <c r="D81" s="95"/>
      <c r="E81" s="96"/>
      <c r="F81" s="96"/>
      <c r="G81" s="96"/>
      <c r="H81" s="96"/>
      <c r="I81" s="96"/>
      <c r="J81" s="97"/>
      <c r="K81" s="13"/>
      <c r="L81" s="24"/>
      <c r="M81" s="12"/>
      <c r="N81" s="63">
        <v>0</v>
      </c>
      <c r="O81" s="24"/>
      <c r="P81" s="12"/>
      <c r="Q81" s="63">
        <v>0</v>
      </c>
      <c r="R81" s="24"/>
      <c r="S81" s="12"/>
      <c r="T81" s="63">
        <v>0</v>
      </c>
      <c r="U81" s="24"/>
      <c r="V81" s="12"/>
      <c r="W81" s="63">
        <v>0</v>
      </c>
      <c r="X81" s="24"/>
      <c r="Y81" s="12"/>
      <c r="Z81" s="63">
        <v>0</v>
      </c>
      <c r="AA81" s="43">
        <f t="shared" si="60"/>
        <v>0</v>
      </c>
    </row>
    <row r="82" spans="1:28" hidden="1" x14ac:dyDescent="0.25">
      <c r="C82" s="12" t="s">
        <v>165</v>
      </c>
      <c r="D82" s="95"/>
      <c r="E82" s="96"/>
      <c r="F82" s="96"/>
      <c r="G82" s="96"/>
      <c r="H82" s="96"/>
      <c r="I82" s="96"/>
      <c r="J82" s="97"/>
      <c r="K82" s="13"/>
      <c r="L82" s="24"/>
      <c r="M82" s="12"/>
      <c r="N82" s="63">
        <v>0</v>
      </c>
      <c r="O82" s="24"/>
      <c r="P82" s="12"/>
      <c r="Q82" s="63">
        <v>0</v>
      </c>
      <c r="R82" s="24"/>
      <c r="S82" s="12"/>
      <c r="T82" s="63">
        <v>0</v>
      </c>
      <c r="U82" s="24"/>
      <c r="V82" s="12"/>
      <c r="W82" s="63">
        <v>0</v>
      </c>
      <c r="X82" s="24"/>
      <c r="Y82" s="12"/>
      <c r="Z82" s="63">
        <v>0</v>
      </c>
      <c r="AA82" s="43">
        <f t="shared" si="60"/>
        <v>0</v>
      </c>
    </row>
    <row r="83" spans="1:28" hidden="1" x14ac:dyDescent="0.25">
      <c r="C83" s="12" t="s">
        <v>166</v>
      </c>
      <c r="D83" s="95"/>
      <c r="E83" s="96"/>
      <c r="F83" s="96"/>
      <c r="G83" s="96"/>
      <c r="H83" s="96"/>
      <c r="I83" s="96"/>
      <c r="J83" s="97"/>
      <c r="K83" s="13"/>
      <c r="L83" s="24"/>
      <c r="M83" s="12"/>
      <c r="N83" s="63">
        <v>0</v>
      </c>
      <c r="O83" s="24"/>
      <c r="P83" s="12"/>
      <c r="Q83" s="63">
        <v>0</v>
      </c>
      <c r="R83" s="24"/>
      <c r="S83" s="12"/>
      <c r="T83" s="63">
        <v>0</v>
      </c>
      <c r="U83" s="24"/>
      <c r="V83" s="12"/>
      <c r="W83" s="63">
        <v>0</v>
      </c>
      <c r="X83" s="24"/>
      <c r="Y83" s="12"/>
      <c r="Z83" s="63">
        <v>0</v>
      </c>
      <c r="AA83" s="43">
        <f t="shared" si="60"/>
        <v>0</v>
      </c>
    </row>
    <row r="84" spans="1:28" hidden="1" x14ac:dyDescent="0.25">
      <c r="C84" s="12" t="s">
        <v>167</v>
      </c>
      <c r="D84" s="353"/>
      <c r="E84" s="354"/>
      <c r="F84" s="354"/>
      <c r="G84" s="354"/>
      <c r="H84" s="354"/>
      <c r="I84" s="354"/>
      <c r="J84" s="355"/>
      <c r="K84" s="13"/>
      <c r="L84" s="24"/>
      <c r="M84" s="12"/>
      <c r="N84" s="63">
        <v>0</v>
      </c>
      <c r="O84" s="24"/>
      <c r="P84" s="12"/>
      <c r="Q84" s="63">
        <v>0</v>
      </c>
      <c r="R84" s="24"/>
      <c r="S84" s="12"/>
      <c r="T84" s="63">
        <v>0</v>
      </c>
      <c r="U84" s="24"/>
      <c r="V84" s="12"/>
      <c r="W84" s="63">
        <v>0</v>
      </c>
      <c r="X84" s="24"/>
      <c r="Y84" s="12"/>
      <c r="Z84" s="63">
        <v>0</v>
      </c>
      <c r="AA84" s="43">
        <f t="shared" si="60"/>
        <v>0</v>
      </c>
    </row>
    <row r="85" spans="1:28" x14ac:dyDescent="0.25">
      <c r="C85" s="12" t="s">
        <v>168</v>
      </c>
      <c r="D85" s="353"/>
      <c r="E85" s="354"/>
      <c r="F85" s="354"/>
      <c r="G85" s="354"/>
      <c r="H85" s="354"/>
      <c r="I85" s="354"/>
      <c r="J85" s="355"/>
      <c r="K85" s="13"/>
      <c r="L85" s="24"/>
      <c r="M85" s="12"/>
      <c r="N85" s="63">
        <v>0</v>
      </c>
      <c r="O85" s="24"/>
      <c r="P85" s="12"/>
      <c r="Q85" s="63">
        <v>0</v>
      </c>
      <c r="R85" s="24"/>
      <c r="S85" s="12"/>
      <c r="T85" s="63">
        <v>0</v>
      </c>
      <c r="U85" s="24"/>
      <c r="V85" s="12"/>
      <c r="W85" s="63">
        <v>0</v>
      </c>
      <c r="X85" s="24"/>
      <c r="Y85" s="12"/>
      <c r="Z85" s="63">
        <v>0</v>
      </c>
      <c r="AA85" s="43">
        <f t="shared" si="60"/>
        <v>0</v>
      </c>
    </row>
    <row r="86" spans="1:28" x14ac:dyDescent="0.25">
      <c r="B86">
        <v>6</v>
      </c>
      <c r="C86" s="12" t="s">
        <v>276</v>
      </c>
      <c r="D86" s="13"/>
      <c r="E86" s="27"/>
      <c r="F86" s="27"/>
      <c r="G86" s="27"/>
      <c r="H86" s="27"/>
      <c r="I86" s="27"/>
      <c r="J86" s="28"/>
      <c r="K86" s="13"/>
      <c r="L86" s="24"/>
      <c r="M86" s="12"/>
      <c r="N86" s="63">
        <f>+IF(SUM(N$30)&gt;0,+IF(ISNA((HLOOKUP($E$30,TR!$B$11:$R$40,6,FALSE)*$C$30)),0,ROUNDDOWN(((HLOOKUP($E$30,TR!$B$11:$R$40,IF($O$4=TR!$A$32,22,IF($O$4=TR!$A$33,23,IF(Award!$O$4=TR!$A$34,24,21))),FALSE)*$C$30)),0)),0)+IF(SUM(N$31)&gt;0,+IF(ISNA((HLOOKUP($E$31,TR!$B$11:$R$40,6,FALSE)*$C$31)),0,ROUNDDOWN(((HLOOKUP($E$31,TR!$B$11:$R$40,IF(O4=TR!A32,22,IF(O4=TR!A33,23,IF(Award!O4=TR!A34,24,21))),FALSE)*$C$31)),0)),0)</f>
        <v>0</v>
      </c>
      <c r="O86" s="24"/>
      <c r="P86" s="12"/>
      <c r="Q86" s="63">
        <f>+IF(SUM(Q$30)&gt;0,+IF(ISNA((HLOOKUP($E$30,TR!$B$11:$R$40,6,FALSE)*$C$30)),0,ROUNDDOWN((((HLOOKUP($E$30,TR!$B$11:$R$40,IF(O4=TR!A32,22,IF(Award!O4=TR!A33,23,IF(Award!O4=TR!A34,24,21))),FALSE)*$C$30)*1.04)),0)))+IF(SUM(Q$31)&gt;0,+IF(ISNA((HLOOKUP($E$31,TR!$B$11:$R$40,6,FALSE)*$C$31)),0,ROUNDDOWN((((HLOOKUP($E$31,TR!$B$11:$R$40,IF(O4=TR!A32,22,IF(Award!O4=TR!A33,23,IF(Award!O4=[1]TR!A34,24,21))),FALSE)*$C$31)*1.04)),0)))</f>
        <v>0</v>
      </c>
      <c r="R86" s="24"/>
      <c r="S86" s="12"/>
      <c r="T86" s="63">
        <f>+IF(SUM(T$30)&gt;0,+IF(ISNA((HLOOKUP($E$30,TR!$B$11:$R$40,6,FALSE)*$C$30)),0,ROUNDDOWN((((HLOOKUP($E$30,TR!$B$11:$R$40,IF(O4=TR!A32,22,IF(Award!O4=TR!A33,23,IF(Award!O4=TR!A34,24,21))),FALSE)*$C$30)*1.08)),0)))+IF(SUM(T$31)&gt;0,+IF(ISNA((HLOOKUP($E$31,TR!$B$11:$R$40,6,FALSE)*$C$31)),0,ROUNDDOWN((((HLOOKUP($E$31,TR!$B$11:$R$40,6,FALSE)*$C$31)*1.08)),0)))</f>
        <v>0</v>
      </c>
      <c r="U86" s="24"/>
      <c r="V86" s="12"/>
      <c r="W86" s="63">
        <f>+IF(SUM(W$30)&gt;0,+IF(ISNA((HLOOKUP($E$30,TR!$B$11:$R$40,6,FALSE)*$C$30)),0,ROUNDDOWN((((HLOOKUP($E$30,TR!$B$11:$R$40,IF(O4=TR!A32,22,IF(Award!O4=TR!A33,23,IF(Award!O4=TR!A34,24,21))),FALSE)*$C$30)*1.12)),0)))+IF(SUM(W$31)&gt;0,+IF(ISNA((HLOOKUP($E$31,TR!$B$11:$R$40,6,FALSE)*$C$31)),0,ROUNDDOWN((((HLOOKUP($E$31,TR!$B$11:$R$40,IF(O4=TR!A32,22,IF(Award!O4=TR!A33,23,IF(Award!O4=[1]TR!A34,24,21))),FALSE)*$C$31)*1.12)),0)))</f>
        <v>0</v>
      </c>
      <c r="X86" s="24"/>
      <c r="Y86" s="12"/>
      <c r="Z86" s="63">
        <f>+IF(SUM(Z$30)&gt;0,+IF(ISNA((HLOOKUP($E$30,TR!$B$11:$R$40,6,FALSE)*$C$30)),0,ROUNDDOWN((((HLOOKUP($E$30,TR!$B$11:$R$40,IF(O4=TR!A32,22,IF(Award!O4=TR!A33,23,IF(Award!O4=TR!A34,24,21))),FALSE)*$C$30)*1.16)),0)))+IF(SUM(Z$31)&gt;0,+IF(ISNA((HLOOKUP($E$31,TR!$B$11:$R$40,6,FALSE)*$C$31)),0,ROUNDDOWN((((HLOOKUP($E$31,TR!$B$11:$R$40,IF(O4=TR!A32,22,IF(Award!O4=TR!A33,23,IF(Award!O4=TR!A34,24,21))),FALSE)*$C$31)*1.16)),0)))</f>
        <v>0</v>
      </c>
      <c r="AA86" s="43">
        <f t="shared" si="60"/>
        <v>0</v>
      </c>
    </row>
    <row r="87" spans="1:28" x14ac:dyDescent="0.25">
      <c r="B87">
        <v>7</v>
      </c>
      <c r="C87" s="12" t="s">
        <v>59</v>
      </c>
      <c r="D87" s="353"/>
      <c r="E87" s="354"/>
      <c r="F87" s="354"/>
      <c r="G87" s="354"/>
      <c r="H87" s="354"/>
      <c r="I87" s="354"/>
      <c r="J87" s="355"/>
      <c r="K87" s="13"/>
      <c r="L87" s="24"/>
      <c r="M87" s="12"/>
      <c r="N87" s="63">
        <v>0</v>
      </c>
      <c r="O87" s="24"/>
      <c r="P87" s="12"/>
      <c r="Q87" s="63">
        <v>0</v>
      </c>
      <c r="R87" s="24"/>
      <c r="S87" s="12"/>
      <c r="T87" s="63">
        <v>0</v>
      </c>
      <c r="U87" s="24"/>
      <c r="V87" s="12"/>
      <c r="W87" s="63">
        <v>0</v>
      </c>
      <c r="X87" s="24"/>
      <c r="Y87" s="12"/>
      <c r="Z87" s="63">
        <v>0</v>
      </c>
      <c r="AA87" s="43">
        <f t="shared" si="60"/>
        <v>0</v>
      </c>
    </row>
    <row r="88" spans="1:28" x14ac:dyDescent="0.25">
      <c r="C88" s="7" t="s">
        <v>71</v>
      </c>
      <c r="L88" s="18"/>
      <c r="M88" s="11"/>
      <c r="N88" s="40">
        <f>SUM(N61:N87)</f>
        <v>0</v>
      </c>
      <c r="O88" s="18"/>
      <c r="P88" s="11"/>
      <c r="Q88" s="40">
        <f>SUM(Q61:Q87)</f>
        <v>0</v>
      </c>
      <c r="R88" s="18"/>
      <c r="S88" s="11"/>
      <c r="T88" s="40">
        <f>SUM(T61:T87)</f>
        <v>0</v>
      </c>
      <c r="U88" s="18"/>
      <c r="V88" s="11"/>
      <c r="W88" s="40">
        <f>SUM(W61:W87)</f>
        <v>0</v>
      </c>
      <c r="X88" s="18"/>
      <c r="Y88" s="11"/>
      <c r="Z88" s="40">
        <f>SUM(Z61:Z87)</f>
        <v>0</v>
      </c>
      <c r="AA88" s="46">
        <f>SUM(AA61:AA87)</f>
        <v>0</v>
      </c>
    </row>
    <row r="89" spans="1:28" ht="8.25" customHeight="1" x14ac:dyDescent="0.25">
      <c r="L89" s="18"/>
      <c r="M89" s="11"/>
      <c r="N89" s="38"/>
      <c r="O89" s="18"/>
      <c r="P89" s="11"/>
      <c r="Q89" s="38"/>
      <c r="R89" s="18"/>
      <c r="S89" s="11"/>
      <c r="T89" s="38"/>
      <c r="U89" s="18"/>
      <c r="V89" s="11"/>
      <c r="W89" s="38"/>
      <c r="X89" s="18"/>
      <c r="Y89" s="11"/>
      <c r="Z89" s="38"/>
      <c r="AA89" s="45"/>
    </row>
    <row r="90" spans="1:28" x14ac:dyDescent="0.25">
      <c r="A90" t="s">
        <v>72</v>
      </c>
      <c r="B90" s="7" t="s">
        <v>73</v>
      </c>
      <c r="L90" s="18"/>
      <c r="M90" s="11"/>
      <c r="N90" s="40">
        <f>ROUND(SUM(,N58,N51,N46,N43,N88),0)</f>
        <v>0</v>
      </c>
      <c r="O90" s="18"/>
      <c r="P90" s="11"/>
      <c r="Q90" s="40">
        <f>ROUND(SUM(,Q58,Q51,Q46,Q43,Q88),0)</f>
        <v>0</v>
      </c>
      <c r="R90" s="18"/>
      <c r="S90" s="11"/>
      <c r="T90" s="40">
        <f>ROUND(SUM(,T58,T51,T46,T43,T88),0)</f>
        <v>0</v>
      </c>
      <c r="U90" s="18"/>
      <c r="V90" s="11"/>
      <c r="W90" s="40">
        <f>ROUND(SUM(,W58,W51,W46,W43,W88),0)</f>
        <v>0</v>
      </c>
      <c r="X90" s="18"/>
      <c r="Y90" s="11"/>
      <c r="Z90" s="40">
        <f>ROUND(SUM(,Z58,Z51,Z46,Z43,Z88),0)</f>
        <v>0</v>
      </c>
      <c r="AA90" s="46">
        <f>SUM(AA58,AA51,AA46,AA43,AA88)</f>
        <v>0</v>
      </c>
    </row>
    <row r="91" spans="1:28" ht="7.5" customHeight="1" x14ac:dyDescent="0.25">
      <c r="L91" s="18"/>
      <c r="M91" s="11"/>
      <c r="N91" s="38"/>
      <c r="O91" s="18"/>
      <c r="P91" s="11"/>
      <c r="Q91" s="38"/>
      <c r="R91" s="18"/>
      <c r="S91" s="11"/>
      <c r="T91" s="38"/>
      <c r="U91" s="18"/>
      <c r="V91" s="11"/>
      <c r="W91" s="38"/>
      <c r="X91" s="18"/>
      <c r="Y91" s="11"/>
      <c r="Z91" s="38"/>
      <c r="AA91" s="45"/>
    </row>
    <row r="92" spans="1:28" x14ac:dyDescent="0.25">
      <c r="A92" t="s">
        <v>74</v>
      </c>
      <c r="B92" s="7" t="s">
        <v>86</v>
      </c>
      <c r="H92" t="s">
        <v>557</v>
      </c>
      <c r="L92" s="18"/>
      <c r="M92" s="11" t="s">
        <v>87</v>
      </c>
      <c r="N92" s="38"/>
      <c r="O92" s="18"/>
      <c r="P92" s="11" t="s">
        <v>87</v>
      </c>
      <c r="Q92" s="38"/>
      <c r="R92" s="18"/>
      <c r="S92" s="11" t="s">
        <v>87</v>
      </c>
      <c r="T92" s="38"/>
      <c r="U92" s="18"/>
      <c r="V92" s="11" t="s">
        <v>87</v>
      </c>
      <c r="W92" s="38"/>
      <c r="X92" s="18"/>
      <c r="Y92" s="11" t="s">
        <v>87</v>
      </c>
      <c r="Z92" s="38"/>
      <c r="AA92" s="45"/>
      <c r="AB92" s="122" t="s">
        <v>268</v>
      </c>
    </row>
    <row r="93" spans="1:28" x14ac:dyDescent="0.25">
      <c r="C93" t="s">
        <v>75</v>
      </c>
      <c r="H93" s="66"/>
      <c r="L93" s="18"/>
      <c r="M93" s="51">
        <f>+IF($H$93&gt;0,$N$90-$N$46-$N$86-IF($H$54="Y",$N$54,0)-IF($H$55="Y",$N$55,0)-IF($H$56="Y",$N$56,0)-IF($H$57="Y",$N$57,0)-IF($N$66&gt;25000,$N$66-25000,0)-IF($N$67&gt;25000,$N$67-25000,0)-IF($N$68&gt;25000,$N$68-25000,0)-IF($N$69&gt;25000,$N$69-25000,0)-IF($N$70&gt;25000,$N$70-25000,0)-IF($N$71&gt;25000,$N$71-25000,0)-IF($N$72&gt;25000,$N$72-25000,0)-IF($N$73&gt;25000,$N$73-25000,0)-IF($N$74&gt;25000,$N$74-25000,0)-IF($N$75&gt;25000,$N$75-25000,0)-IF($N$76&gt;25000,$N$76-25000,0)-IF($N$77&gt;25000,$N$77-25000,0)-IF($N$78&gt;25000,$N$78-25000,0)-IF($N$79&gt;25000,$N$79-25000,0)-IF($N$80&gt;25000,$N$80-25000,0)-IF($N$81&gt;25000,$N$81-25000,0)-IF($N$82&gt;25000,$N$82-25000,0)-IF($N$83&gt;25000,$N$83-25000,0)-IF($N$84&gt;25000,$N$84-25000,0)-IF($N$85&gt;25000,$N$85-25000,0),0)</f>
        <v>0</v>
      </c>
      <c r="N93" s="40">
        <f>+ROUND(IF(H93&gt;0,M93*H93,0),0)</f>
        <v>0</v>
      </c>
      <c r="O93" s="18"/>
      <c r="P93" s="51">
        <f>IF($S$4&gt;1,IF($H$93&gt;0,+$Q$90-$Q$46-$Q$86-IF($H$54="Y",$Q$54,0)-IF($H$55="Y",$Q$55,0)-IF($H$56="Y",$Q$56,0)-IF($H$57="Y",$Q$57,0)-IF($N$66&gt;25000,$Q$66,IF($N$66+$Q$66&gt;25000,($N$66+$Q$66)-25000,0))-IF($N$67&gt;25000,$Q$67,IF($N$67+$Q$67&gt;25000,($N$67+$Q$67)-25000,0))-IF($N$68&gt;25000,$Q$68,IF($N$68+$Q$68&gt;25000,($N$68+$Q$68)-25000,0))-IF($N$69&gt;25000,$Q$69,IF($N$69+$Q$69&gt;25000,($N$69+$Q$69)-25000,0))-IF($N$70&gt;25000,Q70,IF($N$70+$Q$70&gt;25000,($N$70+$Q$70)-25000,0))-IF($N$71&gt;25000,$Q$71,IF($N$71+$Q$71&gt;25000,($N$71+$Q$71)-25000,0))-IF($N$72&gt;25000,$Q$72,IF($N$72+$Q$72&gt;25000,($N$72+$Q$72)-25000,0))-IF($N$73&gt;25000,$Q$73,IF($N$73+$Q$73&gt;25000,($N$73+$Q$73)-25000,0))-IF($N$74&gt;25000,$Q$74,IF($N$74+$Q$74&gt;25000,($N$74+$Q$74)-25000,0))-IF(N75&gt;25000,Q75,IF(N75+Q75&gt;25000,(N75+Q75)-25000,0))-IF(N76&gt;25000,Q76,IF(N76+Q76&gt;25000,(N76+Q76)-25000,0))-IF(N77&gt;25000,Q77,IF(N77+Q77&gt;25000,(N77+Q77)-25000,0))-IF(N78&gt;25000,Q78,IF(N78+Q78&gt;25000,(N78+Q78)-25000,0))-IF(N79&gt;25000,Q79,IF(N79+$Q$79&gt;25000,($N$79+$Q$79)-25000,0))-IF($N$80&gt;25000,$Q$80,IF($N$80+$Q$80&gt;25000,($N$80+$Q$80)-25000,0))-IF($N$81&gt;25000,$Q$81,IF($N$81+$Q$81&gt;25000,($N$81+$Q$81)-25000,0))-IF($N$82&gt;25000,$Q$82,IF($N$82+$Q$82&gt;25000,($N$82+$Q$82)-25000,0))-IF($N$83&gt;25000,$Q$83,IF(N83+$Q$83&gt;25000,($N$83+$Q$83)-25000,0))-IF($N$84&gt;25000,$Q$84,IF($N$84+$Q$84&gt;25000,($N$84+$Q$84)-25000,0))-IF($N$85&gt;25000,$Q$85,IF($N$85+$Q$85&gt;25000,($N$85+$Q$85)-25000,0)),0),0)</f>
        <v>0</v>
      </c>
      <c r="Q93" s="40">
        <f>+IF($S$4&gt;1,IF($H$93&gt;0,P93*$H$93,0),0)</f>
        <v>0</v>
      </c>
      <c r="R93" s="18"/>
      <c r="S93" s="51">
        <f>IF($S$4&gt;2,IF($H$93&gt;0,+$T$90-$T$46-$T$86-IF($H$54="Y",$T$54,0)-IF($H$55="Y",$T$55,0)-IF($H$56="Y",$T$56,0)-IF($H$57="Y",$T$57,0)-IF($N$66+$Q$66&gt;25000,$T$66,IF($N$66+$Q$66+$T$66&gt;25000,($N$66+$Q$66+$T$66)-25000,0))-IF($N$67+$Q$67&gt;25000,$T$67,IF($N$67+$Q$67+$T$67&gt;25000,($N$67+$Q$67+$T$67)-25000,0))-IF($N$68+$Q$68&gt;25000,$T$68,IF($N$68+$Q$68+$T$68&gt;25000,($N$68+$Q$68+$T$68)-25000,0))-IF($N$69+$Q$69&gt;25000,$T$69,IF($N$69+$Q$69+$T$69&gt;25000,($N$69+$Q$69+$T$69)-25000,0))-IF($N$70+$Q$70&gt;25000,$T$70,IF($N$70+$Q$70+$T$70&gt;25000,($N$70+$Q$70+$T$70)-25000,0))-IF($N$71+$Q$71&gt;25000,$T$71,IF($N$71+$Q$71+$T$71&gt;25000,($N$71+$Q$71+$T$71)-25000,0))-IF($N$72+$Q$72&gt;25000,$T$72,IF($N$72+$Q$72+$T$72&gt;25000,($N$72+$Q$72+$T$72)-25000,0))-IF($N$73+$Q$73&gt;25000,$T$73,IF($N$73+$Q$73+$T$73&gt;25000,($N$73+$Q$73+$T$73)-25000,0))-IF($N$74+$Q$74&gt;25000,$T$74,IF($N$74+$Q$74+$T$74&gt;25000,($N$74+$Q$74+$T$74)-25000,0))-IF($N$75+$Q$75&gt;25000,$T$75,IF($N$75+$Q$75+$T$75&gt;25000,($N$75+$Q$75+$T$75)-25000,0))-IF($N$76+$Q$76&gt;25000,$T$76,IF($N$76+$Q$76+$T$76&gt;25000,($N$76+$Q$76+$T$76)-25000,0))-IF($N$77+$Q$77&gt;25000,$T$77,IF($N$77+$Q$77+$T$77&gt;25000,($N$77+$Q$77+$T$77)-25000,0))-IF($N$78+$Q$78&gt;25000,T78,IF($N$78+$Q$78+$T$78&gt;25000,($N$78+$Q$78+$T$78)-25000,0))-IF($N$79+$Q$79&gt;25000,$T$79,IF($N$79+$Q$79+$T$79&gt;25000,($N$79+$Q$79+$T$79)-25000,0))-IF($N$80+$Q$80&gt;25000,$T$80,IF($N$80+$Q$80+$T$80&gt;25000,($N$80+$Q$80+$T$80)-25000,0))-IF($N$81+$Q$81&gt;25000,$T$81,IF($N$81+$Q$81+$T$81&gt;25000,($N$81+$Q$81+$T$81)-25000,0))-IF($N$82+$Q$82&gt;25000,$T$82,IF($N$82+$Q$82+$T$82&gt;25000,($N$82+$Q$82+$T$82)-25000,0))-IF($N$83+$Q$83&gt;25000,$T$83,IF($N$83+$Q$83+$T$83&gt;25000,($N$83+$Q$83+$T$83)-25000,0))-IF($N$84+$Q$84&gt;25000,$T$84,IF($N$84+$Q$84+$T$84&gt;25000,($N$84+$Q$84+$T$84)-25000,0))-IF($N$85+$Q$85&gt;25000,$T$85,IF($N$85+$Q$85+$T$85&gt;25000,($N$85+$Q$85+$T$85)-25000,0)),0),0)</f>
        <v>0</v>
      </c>
      <c r="T93" s="40">
        <f>+IF($S$4&gt;1,IF($H$93&gt;0,S93*$H$93,0),0)</f>
        <v>0</v>
      </c>
      <c r="U93" s="18"/>
      <c r="V93" s="51">
        <f>IF($S$4&gt;3,IF($H$93&gt;0,+$W$90-$W$46-$W$86-IF($H$54="Y",$W$54,0)-IF($H$55="Y",$W$55,0)-IF($H$56="Y",$W$56,0)-IF($H$57="Y",$W$57,0)-IF(+$N$66+$Q$66+$T$66&gt;25000,$W$66,IF(+$N$66+$Q$66+$T$66+$W$66&gt;25000,(+$N$66+$Q$66+$T$66+$W$66)-25000,0))-IF(+$N$67+$Q$67+$T$67&gt;25000,$W$67,IF(+$N$67+$Q$67+$T$67+$W$67&gt;25000,(+$N$67+$Q$67+$T$67+$W$67)-25000,0))-IF(+$N$68+$Q$68+$T$68&gt;25000,$W$68,IF($N$68+$Q$68+$T$68+$W$68&gt;25000,($N$68+$Q$68+$T$68+$W$68)-25000,0))-IF(+$N$69+$Q$69+$T$69&gt;25000,$W$69,IF($N$69+$Q$69+$T$69+$W$69&gt;25000,($N$69+$Q$69+$T$69+$W$69)-25000,0))-IF(+$N$70+$Q$70+$T$70&gt;25000,$W$70,IF($N$70+$Q$70+$T$70+$W$70&gt;25000,($N$70+$Q$70+$T$70+$W$70)-25000,0))-IF(+$N$71+$Q$71+$T$71&gt;25000,$W$71,IF($N$71+$Q$71+$T$71+$W$71&gt;25000,($N$71+$Q$71+$T$71+$W$71)-25000,0))-IF(+$N$72+$Q$72+$T$72&gt;25000,$W$72,IF($N$72+$Q$72+$T$72+$W$72&gt;25000,($N$72+$Q$72+$T$72+$W$72)-25000,0))-IF(+$N$73+$Q$73+$T$73&gt;25000,$W$73,IF($N$73+$Q$73+$T$73+$W$73&gt;25000,($N$73+$Q$73+$T$73+$W$73)-25000,0))-IF(+$N$74+$Q$74+$T$74&gt;25000,$W$74,IF($N$74+$Q$74+$T$74+$W$74&gt;25000,($N$74+$Q$74+$T$74+$W$74)-25000,0))-IF(+$N$75+$Q$75+$T$75&gt;25000,$W$75,IF($N$75+$Q$75+$T$75+$W$75&gt;25000,($N$75+$Q$75+$T$75+$W$75)-25000,0))-IF(+$N$76+$Q$76+$T$76&gt;25000,$W$76,IF($N$76+$Q$76+$T$76+$W$76&gt;25000,($N$76+$Q$76+$T$76+$W$76)-25000,0))-IF(+$N$77+$Q$77+$T$77&gt;25000,$W$77,IF($N$77+$Q$77+$T$77+$W$77&gt;25000,($N$77+$Q$77+$T$77+$W$77)-25000,0))-IF(+$N$78+$Q$78+$T$78&gt;25000,$W$78,IF($N$78+$Q$78+$T$78+$W$78&gt;25000,($N$78+$Q$78+$T$78+$W$78)-25000,0))-IF(+$N$79+$Q$79+$T$79&gt;25000,$W$79,IF($N$79+$Q$79+$T$79+$W$79&gt;25000,($N$79+$Q$79+$T$79+$W$79)-25000,0))-IF(+$N$80+$Q$80+$T$80&gt;25000,$W$80,IF($N$80+$Q$80+$T$80+$W$80&gt;25000,($N$80+$Q$80+$T$80+$W$80)-25000,0))-IF(+$N$81+$Q$81+$T$81&gt;25000,$W$81,IF($N$81+$Q$81+$T$81+$W$81&gt;25000,($N$81+$Q$81+$T$81+$W$81)-25000,0))-IF(+$N$82+$Q$82+$T$82&gt;25000,$W$82,IF($N$82+$Q$82+$T$82+$W$82&gt;25000,($N$82+$Q$82+$T$82+$W$82)-25000,0))-IF(+$N$83+$Q$83+$T$83&gt;25000,$W$83,IF($N$83+$Q$83+$T$83+$W$83&gt;25000,($N$83+$Q$83+$T$83+$W$83)-25000,0))-IF(+$N$84+$Q$84+$T$84&gt;25000,$W$84,IF($N$84+$Q$84+$T$84+$W$84&gt;25000,($N$84+$Q$84+$T$84+$W$84)-25000,0))-IF($N$85+$Q$85+$T$85&gt;25000,$W$85,IF($N$85+$Q$85+$T$85+$W$85&gt;25000,($N$85+$Q$85+$T$85)-25000,0)),0),0)</f>
        <v>0</v>
      </c>
      <c r="W93" s="40">
        <f>+IF($S$4&gt;1,IF($H$93&gt;0,V93*$H$93,0),0)</f>
        <v>0</v>
      </c>
      <c r="X93" s="18"/>
      <c r="Y93" s="51">
        <f>IF($S$4&gt;4,IF($N$93&gt;0,+$Z$90-$Z$46-$Z$86-IF($H$54="Y",$Z$54,0)-IF($H$55="Y",$Z$55,0)-IF($H$56="Y",$Z$56,0)-IF($H$57="Y",$Z$57,0)-IF($N$66+$Q$66+$T$66+$W$66&gt;25000,$Z$66,IF($N$66+$Q$66+$T$66+$W$66+$Z$66&gt;25000,($N$66+$Q$66+$T$66+$W$66+$Z$66)-25000,0))-IF($N$67+$Q$67+$T$67+$W$67&gt;25000,$Z$67,IF($N$67+$Q$67+$T$67+$W$67+$Z$67&gt;25000,($N$67+$Q$67+$T$67+$W$67+$Z$67)-25000,0))-IF($N$68+$Q$68+$T$68+$W$68&gt;25000,$Z$68,IF($N$68+$Q$68+$T$68+$W$68+$Z$68&gt;25000,($N$68+$Q$68+$T$68+$W$68+$Z$68)-25000,0))-IF($N$69+$Q$69+$T$69+$W$69&gt;25000,$Z$69,IF($N$69+$Q$69+$T$69+$W$69+$Z$69&gt;25000,($N$69+$Q$69+$T$69+$W$69+$Z$69)-25000,0))-IF($N$70+$Q$70+$T$70+$W$70&gt;25000,$Z$70,IF($N$70+$Q$70+$T$70+$W$70+$Z$70&gt;25000,($N$70+$Q$70+$T$70+$W$70+$Z$70)-25000,0))-IF($N$71+$Q$71+$T$71+$W$71&gt;25000,$Z$71,IF($N$71+$Q$71+$T$71+$W$71+$Z$71&gt;25000,($N$71+$Q$71+$T$71+$W$71+$Z$71)-25000,0))-IF($N$72+$Q$72+$T$72+$W$72&gt;25000,$Z$72,IF($N$72+$Q$72+$T$72+$W$72+$Z$72&gt;25000,($N$72+$Q$72+$T$72+$W$72+$Z$72)-25000,0))-IF($N$73+$Q$73+$T$73+$W$73&gt;25000,$Z$73,IF($N$73+$Q$73+$T$73+$W$73+$Z$73&gt;25000,($N$73+$Q$73+$T$73+$W$73+$Z$73)-25000,0))-IF($N$74+$Q$74+$T$74+$W$74&gt;25000,$Z$74,IF($N$74+$Q$74+$T$74+$W$74+$Z$74&gt;25000,($N$74+$Q$74+$T$74+$W$74+$Z$74)-25000,0))-IF($N$75+$Q$75+$T$75+$W$75&gt;25000,$Z$75,IF($N$75+$Q$75+$T$75+$W$75+$Z$75&gt;25000,($N$75+$Q$75+$T$75+$W$75+$Z$75)-25000,0))-IF($N$76+$Q$76+$T$76+$W$76&gt;25000,$Z$76,IF($N$76+$Q$76+$T$76+$W$76+$Z$76&gt;25000,($N$76+$Q$76+$T$76+$W$76+$Z$76)-25000,0))-IF($N$77+$Q$77+$T$77+$W$77&gt;25000,$Z$77,IF($N$77+$Q$77+$T$77+$W$77+$Z$77&gt;25000,($N$77+$Q$77+$T$77+$W$77+$Z$77)-25000,0))-IF($N$78+$Q$78+$T$78+$W$78&gt;25000,$Z$78,IF($N$78+$Q$78+$T$78+$W$78+$Z$78&gt;25000,($N$78+$Q$78+$T$78+$W$78+$Z$78)-25000,0))-IF($N$79+$Q$79+$T$79+$W$79&gt;25000,$Z$79,IF($N$79+$Q$79+$T$79+$W$79+$Z$79&gt;25000,($N$79+$Q$79+$T$79+$W$79+$Z$79)-25000,0))-IF($N$80+$Q$80+$T$80+$W$80&gt;25000,$Z$80,IF($N$80+$Q$80+$T$80+$W$80+$Z$80&gt;25000,($N$80+$Q$80+$T$80+$W$80+$Z$80)-25000,0))-IF($N$81+$Q$81+$T$81+$W$81&gt;25000,$Z$81,IF($N$81+$Q$81+$T$81+$W$81+$Z$81&gt;25000,($N$81+$Q$81+$T$81+$W$81+$Z$81)-25000,0))-IF($N$82+$Q$82+$T$82+$W$82&gt;25000,$Z$82,IF($N$82+$Q$82+$T$82+$W$82+$Z$82&gt;25000,($N$82+$Q$82+$T$82+$W$82+$Z$82)-25000,0))-IF($N$83+$Q$83+$T$83+$W$83&gt;25000,$Z$83,IF($N$83+$Q$83+$T$83+$W$83+$Z$83&gt;25000,($N$83+$Q$83+$T$83+$W$83+$Z$83)-25000,0))-IF($N$84+$Q$84+$T$84+$W$84&gt;25000,$Z$84,IF($N$84+$Q$84+$T$84+$W$84+$Z$84&gt;25000,($N$84+$Q$84+$T$84+$W$84+$Z$84)-25000,0))-IF($N$85+$Q$85+$T$85+$W$85&gt;25000,$Z$85,IF($N$85+$Q$85+$T$85+$W$85+$Z$85&gt;25000,($N$85+$Q$85+$T$85+$W$85+$Z$85)-25000,0)),0),0)</f>
        <v>0</v>
      </c>
      <c r="Z93" s="40">
        <f>+IF($S$4&gt;1,IF($H$93&gt;0,Y93*$H$93,0),0)</f>
        <v>0</v>
      </c>
      <c r="AA93" s="44">
        <f t="shared" ref="AA93:AA98" si="61">SUM(N93,Q93,T93,W93,Z93)</f>
        <v>0</v>
      </c>
      <c r="AB93" s="50">
        <f>+M93+P93+S93+V93+Y93</f>
        <v>0</v>
      </c>
    </row>
    <row r="94" spans="1:28" x14ac:dyDescent="0.25">
      <c r="D94" t="s">
        <v>76</v>
      </c>
      <c r="H94" s="66"/>
      <c r="L94" s="18"/>
      <c r="M94" s="11"/>
      <c r="N94" s="37">
        <f>+ROUND(IF(H94&gt;0,N90*$H$94,0),0)</f>
        <v>0</v>
      </c>
      <c r="O94" s="18"/>
      <c r="P94" s="11"/>
      <c r="Q94" s="37">
        <f>IF(S4&gt;1,IF(H94&gt;0,Q90*$H$94,0),0)</f>
        <v>0</v>
      </c>
      <c r="R94" s="18"/>
      <c r="S94" s="11"/>
      <c r="T94" s="37">
        <f>+IF(S4&gt;2,IF(H94&gt;0,T90*$H$94,0),0)</f>
        <v>0</v>
      </c>
      <c r="U94" s="18"/>
      <c r="V94" s="11"/>
      <c r="W94" s="37">
        <f>+IF(S4&gt;3,IF(H94&gt;0,W90*$H$94,0),0)</f>
        <v>0</v>
      </c>
      <c r="X94" s="18"/>
      <c r="Y94" s="11"/>
      <c r="Z94" s="37">
        <f>+IF(S4&gt;4,IF(H94&gt;0,Z90*$H$94,0),0)</f>
        <v>0</v>
      </c>
      <c r="AA94" s="44">
        <f t="shared" si="61"/>
        <v>0</v>
      </c>
    </row>
    <row r="95" spans="1:28" x14ac:dyDescent="0.25">
      <c r="C95" s="7" t="s">
        <v>267</v>
      </c>
      <c r="D95" s="123"/>
      <c r="F95" t="str">
        <f>+IF(D95&lt;=0.3," ",0.42857)</f>
        <v xml:space="preserve"> </v>
      </c>
      <c r="H95" s="124" t="str">
        <f>+IF(D95&gt;0,(D95/(1-D95))," ")</f>
        <v xml:space="preserve"> </v>
      </c>
      <c r="L95" s="18"/>
      <c r="M95" s="11"/>
      <c r="N95" s="37">
        <f>+ROUND(IF(D95&gt;0,N90*$H$95,0),0)</f>
        <v>0</v>
      </c>
      <c r="O95" s="18"/>
      <c r="P95" s="11"/>
      <c r="Q95" s="37">
        <f>IF(S4&gt;1,IF(D95&gt;0,Q90*$H$95,0),0)</f>
        <v>0</v>
      </c>
      <c r="R95" s="18"/>
      <c r="S95" s="11"/>
      <c r="T95" s="37">
        <f>+IF($S$4&gt;2,IF(D95&gt;0,T90*$H$95,0),0)</f>
        <v>0</v>
      </c>
      <c r="U95" s="18"/>
      <c r="V95" s="11"/>
      <c r="W95" s="37">
        <f>+IF($S$4&gt;3,IF(D95&gt;0,W90*$H$95,0),0)</f>
        <v>0</v>
      </c>
      <c r="X95" s="18"/>
      <c r="Y95" s="11"/>
      <c r="Z95" s="37">
        <f>+IF($S$4&gt;4,IF(D95&gt;0,Z90*$H$95,0),0)</f>
        <v>0</v>
      </c>
      <c r="AA95" s="44">
        <f t="shared" si="61"/>
        <v>0</v>
      </c>
    </row>
    <row r="96" spans="1:28" x14ac:dyDescent="0.25">
      <c r="C96" s="7" t="s">
        <v>77</v>
      </c>
      <c r="F96" s="7" t="s">
        <v>324</v>
      </c>
      <c r="L96" s="18"/>
      <c r="M96" s="11"/>
      <c r="N96" s="88">
        <f>SUM(N93:N95)</f>
        <v>0</v>
      </c>
      <c r="O96" s="23"/>
      <c r="P96" s="5"/>
      <c r="Q96" s="88">
        <f>SUM(Q93:Q95)</f>
        <v>0</v>
      </c>
      <c r="R96" s="23"/>
      <c r="S96" s="5"/>
      <c r="T96" s="88">
        <f>SUM(T93:T95)</f>
        <v>0</v>
      </c>
      <c r="U96" s="23"/>
      <c r="V96" s="5"/>
      <c r="W96" s="88">
        <f>SUM(W93:W95)</f>
        <v>0</v>
      </c>
      <c r="X96" s="23"/>
      <c r="Y96" s="5"/>
      <c r="Z96" s="88">
        <f>SUM(Z93:Z95)</f>
        <v>0</v>
      </c>
      <c r="AA96" s="48">
        <f t="shared" si="61"/>
        <v>0</v>
      </c>
    </row>
    <row r="97" spans="1:27" ht="6.75" customHeight="1" x14ac:dyDescent="0.25">
      <c r="L97" s="18"/>
      <c r="M97" s="11"/>
      <c r="N97" s="38"/>
      <c r="O97" s="18"/>
      <c r="P97" s="11"/>
      <c r="Q97" s="38"/>
      <c r="R97" s="18"/>
      <c r="S97" s="11"/>
      <c r="T97" s="38"/>
      <c r="U97" s="18"/>
      <c r="V97" s="11"/>
      <c r="W97" s="38"/>
      <c r="X97" s="18"/>
      <c r="Y97" s="11"/>
      <c r="Z97" s="38"/>
      <c r="AA97" s="45"/>
    </row>
    <row r="98" spans="1:27" ht="15.75" thickBot="1" x14ac:dyDescent="0.3">
      <c r="A98" t="s">
        <v>78</v>
      </c>
      <c r="B98" s="7" t="s">
        <v>79</v>
      </c>
      <c r="L98" s="21"/>
      <c r="M98" s="22"/>
      <c r="N98" s="42">
        <f>ROUND(SUM(N90,N96),0)</f>
        <v>0</v>
      </c>
      <c r="O98" s="21"/>
      <c r="P98" s="22"/>
      <c r="Q98" s="42">
        <f>ROUND(IF(S4&gt;1,SUM(Q90,Q96),0),0)</f>
        <v>0</v>
      </c>
      <c r="R98" s="21"/>
      <c r="S98" s="22"/>
      <c r="T98" s="42">
        <f>ROUND(IF(S4&gt;2,SUM(T90,T96),0),0)</f>
        <v>0</v>
      </c>
      <c r="U98" s="21"/>
      <c r="V98" s="22"/>
      <c r="W98" s="42">
        <f>ROUND(IF(S4&gt;3,SUM(W90,W96),0),0)</f>
        <v>0</v>
      </c>
      <c r="X98" s="21"/>
      <c r="Y98" s="22"/>
      <c r="Z98" s="42">
        <f>ROUND(IF(S4&gt;4,SUM(Z90,Z96),0),0)</f>
        <v>0</v>
      </c>
      <c r="AA98" s="49">
        <f t="shared" si="61"/>
        <v>0</v>
      </c>
    </row>
    <row r="99" spans="1:27" ht="4.5" customHeight="1" x14ac:dyDescent="0.25"/>
    <row r="100" spans="1:27" ht="7.5" customHeight="1" x14ac:dyDescent="0.25"/>
  </sheetData>
  <sheetProtection password="9F12" sheet="1" objects="1" scenarios="1"/>
  <mergeCells count="24">
    <mergeCell ref="D85:J85"/>
    <mergeCell ref="T2:X2"/>
    <mergeCell ref="D87:J87"/>
    <mergeCell ref="D66:J66"/>
    <mergeCell ref="D67:J67"/>
    <mergeCell ref="D84:J84"/>
    <mergeCell ref="C46:J46"/>
    <mergeCell ref="B27:D27"/>
    <mergeCell ref="I30:J30"/>
    <mergeCell ref="I31:J31"/>
    <mergeCell ref="E30:G30"/>
    <mergeCell ref="E31:G31"/>
    <mergeCell ref="D1:AA1"/>
    <mergeCell ref="A1:B1"/>
    <mergeCell ref="AR7:AU7"/>
    <mergeCell ref="AH7:AL7"/>
    <mergeCell ref="AB7:AF7"/>
    <mergeCell ref="D2:Q2"/>
    <mergeCell ref="E4:K4"/>
    <mergeCell ref="L7:N7"/>
    <mergeCell ref="O7:Q7"/>
    <mergeCell ref="R7:T7"/>
    <mergeCell ref="U7:W7"/>
    <mergeCell ref="X7:Z7"/>
  </mergeCells>
  <dataValidations xWindow="1120" yWindow="317" count="18">
    <dataValidation allowBlank="1" showInputMessage="1" showErrorMessage="1" prompt="Short name of the Proposal" sqref="D2:Q2"/>
    <dataValidation allowBlank="1" showInputMessage="1" showErrorMessage="1" prompt="Who is the sponor of the Propsal_x000a_" sqref="T2:X2"/>
    <dataValidation allowBlank="1" showInputMessage="1" showErrorMessage="1" prompt="What is the Due Date on the RFP" sqref="AA2"/>
    <dataValidation type="list" allowBlank="1" showInputMessage="1" showErrorMessage="1" prompt="Is the Senor Personel 9mo, 10 mo, or 12mo_x000a_" sqref="J10:J24">
      <formula1>$BK$9:$BK$11</formula1>
    </dataValidation>
    <dataValidation allowBlank="1" showInputMessage="1" showErrorMessage="1" prompt="% Effort during the PI's appointment period" sqref="O28:O31 R9:S24 U28:U31 X28:X31 R28:R31 O9:P24 U9:V24 X9:Y24 L9:L24"/>
    <dataValidation allowBlank="1" showInputMessage="1" showErrorMessage="1" prompt="Only for 9 mo and 10 mo Personel_x000a_" sqref="M10:M24"/>
    <dataValidation allowBlank="1" showInputMessage="1" showErrorMessage="1" prompt="% Salary Increase by Year" sqref="W4"/>
    <dataValidation allowBlank="1" showInputMessage="1" showErrorMessage="1" prompt="Enter name of Institution or Business" sqref="D66:J85"/>
    <dataValidation type="list" allowBlank="1" showInputMessage="1" showErrorMessage="1" prompt="Is the Senior Person_x000a_nel 9mo, 10 mo, or 12mo_x000a_" sqref="J9">
      <formula1>$BK$9:$BK$11</formula1>
    </dataValidation>
    <dataValidation allowBlank="1" showInputMessage="1" showErrorMessage="1" error="12 mo cannot have summer_x000a_" prompt="Only for 9 mo and 10 mo Personel_x000a_" sqref="M9"/>
    <dataValidation allowBlank="1" showInputMessage="1" showErrorMessage="1" promptTitle=" " prompt="Hourly Wage" sqref="H32"/>
    <dataValidation allowBlank="1" showInputMessage="1" showErrorMessage="1" prompt="# of Hrs" sqref="O32:O33 X32:X33 U32:U33 R32:R33 L32"/>
    <dataValidation type="list" allowBlank="1" showInputMessage="1" showErrorMessage="1" promptTitle="Enter whole number 1-5" prompt=" " sqref="S4">
      <formula1>$BL$9:$BL$13</formula1>
    </dataValidation>
    <dataValidation type="list" allowBlank="1" showInputMessage="1" showErrorMessage="1" sqref="C28:C33">
      <formula1>$BQ$9:$BQ$18</formula1>
    </dataValidation>
    <dataValidation type="list" allowBlank="1" showInputMessage="1" showErrorMessage="1" sqref="D95">
      <formula1>$BT$9:$BT$13</formula1>
    </dataValidation>
    <dataValidation type="list" allowBlank="1" showInputMessage="1" showErrorMessage="1" sqref="F28:F29 H54:H57 F33">
      <formula1>$BS$9:$BS$10</formula1>
    </dataValidation>
    <dataValidation type="list" allowBlank="1" showInputMessage="1" showErrorMessage="1" promptTitle=" " prompt="Pick from Drop Down List" sqref="O4">
      <formula1>$BM$9:$BM$24</formula1>
    </dataValidation>
    <dataValidation type="list" allowBlank="1" showInputMessage="1" showErrorMessage="1" sqref="I30:J31">
      <formula1>$BV$8:$BV$12</formula1>
    </dataValidation>
  </dataValidations>
  <pageMargins left="0.5" right="0.2" top="0.2" bottom="0.25" header="0.3" footer="0.3"/>
  <pageSetup scale="48" fitToHeight="2"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3AC47B27-0439-4576-95E5-AED91046BD1C}">
            <xm:f>'GA Rates'!$W$26</xm:f>
            <x14:dxf>
              <font>
                <color rgb="FF9C0006"/>
              </font>
              <fill>
                <patternFill>
                  <bgColor rgb="FFFFC7CE"/>
                </patternFill>
              </fill>
            </x14:dxf>
          </x14:cfRule>
          <xm:sqref>N30:N31</xm:sqref>
        </x14:conditionalFormatting>
      </x14:conditionalFormattings>
    </ext>
    <ext xmlns:x14="http://schemas.microsoft.com/office/spreadsheetml/2009/9/main" uri="{CCE6A557-97BC-4b89-ADB6-D9C93CAAB3DF}">
      <x14:dataValidations xmlns:xm="http://schemas.microsoft.com/office/excel/2006/main" xWindow="1120" yWindow="317" count="2">
        <x14:dataValidation type="list" allowBlank="1" showInputMessage="1" showErrorMessage="1">
          <x14:formula1>
            <xm:f>TR!$B$11:$R$11</xm:f>
          </x14:formula1>
          <xm:sqref>E30:E31</xm:sqref>
        </x14:dataValidation>
        <x14:dataValidation type="whole" errorStyle="information" operator="lessThanOrEqual" allowBlank="1" showInputMessage="1" showErrorMessage="1" errorTitle="Below minimmum stipend" error="The GRA will not recieve tuition pail unless working for another grant.">
          <x14:formula1>
            <xm:f>'GA Rates'!W26</xm:f>
          </x14:formula1>
          <xm:sqref>N30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28"/>
  <sheetViews>
    <sheetView workbookViewId="0">
      <selection activeCell="K13" sqref="K13"/>
    </sheetView>
  </sheetViews>
  <sheetFormatPr defaultRowHeight="15" x14ac:dyDescent="0.25"/>
  <cols>
    <col min="2" max="2" width="9.7109375" customWidth="1"/>
    <col min="4" max="4" width="4.140625" customWidth="1"/>
    <col min="5" max="5" width="10" bestFit="1" customWidth="1"/>
    <col min="6" max="6" width="38.5703125" customWidth="1"/>
    <col min="9" max="9" width="10.85546875" bestFit="1" customWidth="1"/>
    <col min="13" max="14" width="12.28515625" customWidth="1"/>
    <col min="15" max="15" width="13.5703125" customWidth="1"/>
  </cols>
  <sheetData>
    <row r="1" spans="1:15" x14ac:dyDescent="0.25">
      <c r="B1" t="s">
        <v>174</v>
      </c>
    </row>
    <row r="2" spans="1:15" x14ac:dyDescent="0.25">
      <c r="B2" t="s">
        <v>175</v>
      </c>
      <c r="E2" s="12">
        <v>929929743</v>
      </c>
      <c r="F2" s="11"/>
    </row>
    <row r="3" spans="1:15" x14ac:dyDescent="0.25">
      <c r="B3" t="s">
        <v>176</v>
      </c>
      <c r="D3" t="s">
        <v>80</v>
      </c>
      <c r="E3" t="s">
        <v>200</v>
      </c>
      <c r="F3" t="s">
        <v>80</v>
      </c>
      <c r="G3" t="s">
        <v>201</v>
      </c>
    </row>
    <row r="4" spans="1:15" x14ac:dyDescent="0.25">
      <c r="B4" t="s">
        <v>177</v>
      </c>
      <c r="E4" t="s">
        <v>0</v>
      </c>
    </row>
    <row r="5" spans="1:15" x14ac:dyDescent="0.25">
      <c r="B5" t="s">
        <v>178</v>
      </c>
      <c r="C5" s="113">
        <f>+Award!O6</f>
        <v>0</v>
      </c>
      <c r="E5" t="s">
        <v>179</v>
      </c>
      <c r="F5" s="113">
        <f>+Award!P6</f>
        <v>0</v>
      </c>
      <c r="G5" s="383" t="s">
        <v>180</v>
      </c>
      <c r="H5" s="383"/>
      <c r="I5">
        <v>2</v>
      </c>
    </row>
    <row r="7" spans="1:15" x14ac:dyDescent="0.25">
      <c r="B7" s="7" t="s">
        <v>181</v>
      </c>
    </row>
    <row r="8" spans="1:15" x14ac:dyDescent="0.25">
      <c r="J8" t="s">
        <v>80</v>
      </c>
    </row>
    <row r="9" spans="1:15" s="3" customFormat="1" ht="75" x14ac:dyDescent="0.25">
      <c r="B9" s="3" t="s">
        <v>182</v>
      </c>
      <c r="C9" s="3" t="s">
        <v>183</v>
      </c>
      <c r="D9" s="3" t="s">
        <v>184</v>
      </c>
      <c r="E9" s="3" t="s">
        <v>185</v>
      </c>
      <c r="G9" s="3" t="s">
        <v>186</v>
      </c>
      <c r="H9" s="3" t="s">
        <v>6</v>
      </c>
      <c r="I9" s="3" t="s">
        <v>187</v>
      </c>
      <c r="J9" s="3" t="s">
        <v>193</v>
      </c>
      <c r="K9" s="3" t="s">
        <v>192</v>
      </c>
      <c r="L9" s="3" t="s">
        <v>188</v>
      </c>
      <c r="M9" s="3" t="s">
        <v>189</v>
      </c>
      <c r="N9" s="3" t="s">
        <v>190</v>
      </c>
      <c r="O9" s="3" t="s">
        <v>191</v>
      </c>
    </row>
    <row r="10" spans="1:15" x14ac:dyDescent="0.25">
      <c r="A10">
        <v>1</v>
      </c>
      <c r="B10" s="12"/>
      <c r="C10" s="12">
        <f>+Award!C9</f>
        <v>0</v>
      </c>
      <c r="D10" s="12" t="s">
        <v>80</v>
      </c>
      <c r="E10" s="12">
        <f>+Award!D9</f>
        <v>0</v>
      </c>
      <c r="F10" s="12"/>
      <c r="G10" s="12"/>
      <c r="H10" s="12">
        <f>+Award!F9</f>
        <v>0</v>
      </c>
      <c r="I10" s="112">
        <f>+Award!AR9</f>
        <v>0</v>
      </c>
      <c r="J10" s="12" t="str">
        <f>+IF(Award!J9=12,Award!AB9," ")</f>
        <v xml:space="preserve"> </v>
      </c>
      <c r="K10" s="111">
        <f>+IF(Award!J9&lt;12,Award!AB9," ")</f>
        <v>0</v>
      </c>
      <c r="L10" s="111">
        <f>+IF(Award!J9&lt;12,Award!M9," ")</f>
        <v>0</v>
      </c>
      <c r="M10" s="112">
        <f>+Award!Q9</f>
        <v>0</v>
      </c>
      <c r="N10" s="112">
        <f>+Award!AI9</f>
        <v>0</v>
      </c>
      <c r="O10" s="112">
        <f>SUM(M10:N10)</f>
        <v>0</v>
      </c>
    </row>
    <row r="11" spans="1:15" x14ac:dyDescent="0.25">
      <c r="A11">
        <v>2</v>
      </c>
      <c r="B11" s="12"/>
      <c r="C11" s="12">
        <f>+Award!C10</f>
        <v>0</v>
      </c>
      <c r="D11" s="12" t="s">
        <v>80</v>
      </c>
      <c r="E11" s="12">
        <f>+Award!D10</f>
        <v>0</v>
      </c>
      <c r="F11" s="12"/>
      <c r="G11" s="12"/>
      <c r="H11" s="12">
        <f>+Award!F10</f>
        <v>0</v>
      </c>
      <c r="I11" s="112">
        <f>+Award!AR10</f>
        <v>0</v>
      </c>
      <c r="J11" s="12" t="str">
        <f>+IF(Award!J10=12,Award!AB10," ")</f>
        <v xml:space="preserve"> </v>
      </c>
      <c r="K11" s="111">
        <f>+IF(Award!J10&lt;12,Award!AB10," ")</f>
        <v>0</v>
      </c>
      <c r="L11" s="111">
        <f>+IF(Award!J10&lt;12,Award!M10," ")</f>
        <v>0</v>
      </c>
      <c r="M11" s="112">
        <f>+Award!Q10</f>
        <v>0</v>
      </c>
      <c r="N11" s="112">
        <f>+Award!AI10</f>
        <v>0</v>
      </c>
      <c r="O11" s="112">
        <f t="shared" ref="O11:O25" si="0">SUM(M11:N11)</f>
        <v>0</v>
      </c>
    </row>
    <row r="12" spans="1:15" x14ac:dyDescent="0.25">
      <c r="A12">
        <v>3</v>
      </c>
      <c r="B12" s="12"/>
      <c r="C12" s="12">
        <f>+Award!C11</f>
        <v>0</v>
      </c>
      <c r="D12" s="12" t="s">
        <v>80</v>
      </c>
      <c r="E12" s="12">
        <f>+Award!D11</f>
        <v>0</v>
      </c>
      <c r="F12" s="12"/>
      <c r="G12" s="12"/>
      <c r="H12" s="12">
        <f>+Award!F11</f>
        <v>0</v>
      </c>
      <c r="I12" s="112">
        <f>+Award!AR11</f>
        <v>0</v>
      </c>
      <c r="J12" s="12" t="str">
        <f>+IF(Award!J11=12,Award!AB11," ")</f>
        <v xml:space="preserve"> </v>
      </c>
      <c r="K12" s="111">
        <f>+IF(Award!J11&lt;12,Award!AB11," ")</f>
        <v>0</v>
      </c>
      <c r="L12" s="111">
        <f>+IF(Award!J11&lt;12,Award!M11," ")</f>
        <v>0</v>
      </c>
      <c r="M12" s="112">
        <f>+Award!Q11</f>
        <v>0</v>
      </c>
      <c r="N12" s="112">
        <f>+Award!AI11</f>
        <v>0</v>
      </c>
      <c r="O12" s="112">
        <f t="shared" si="0"/>
        <v>0</v>
      </c>
    </row>
    <row r="13" spans="1:15" x14ac:dyDescent="0.25">
      <c r="A13">
        <v>4</v>
      </c>
      <c r="B13" s="12"/>
      <c r="C13" s="12">
        <f>+Award!C12</f>
        <v>0</v>
      </c>
      <c r="D13" s="12" t="s">
        <v>80</v>
      </c>
      <c r="E13" s="12">
        <f>+Award!D12</f>
        <v>0</v>
      </c>
      <c r="F13" s="12"/>
      <c r="G13" s="12"/>
      <c r="H13" s="12">
        <f>+Award!F12</f>
        <v>0</v>
      </c>
      <c r="I13" s="112">
        <f>+Award!AR12</f>
        <v>0</v>
      </c>
      <c r="J13" s="12" t="str">
        <f>+IF(Award!J12=12,Award!AB12," ")</f>
        <v xml:space="preserve"> </v>
      </c>
      <c r="K13" s="111">
        <f>+IF(Award!J12&lt;12,Award!AB12," ")</f>
        <v>0</v>
      </c>
      <c r="L13" s="111">
        <f>+IF(Award!J12&lt;12,Award!M12," ")</f>
        <v>0</v>
      </c>
      <c r="M13" s="112">
        <f>+Award!Q12</f>
        <v>0</v>
      </c>
      <c r="N13" s="112">
        <f>+Award!AI12</f>
        <v>0</v>
      </c>
      <c r="O13" s="112">
        <f t="shared" si="0"/>
        <v>0</v>
      </c>
    </row>
    <row r="14" spans="1:15" x14ac:dyDescent="0.25">
      <c r="A14">
        <v>5</v>
      </c>
      <c r="B14" s="12"/>
      <c r="C14" s="12">
        <f>+Award!C13</f>
        <v>0</v>
      </c>
      <c r="D14" s="12" t="s">
        <v>80</v>
      </c>
      <c r="E14" s="12">
        <f>+Award!D13</f>
        <v>0</v>
      </c>
      <c r="F14" s="12"/>
      <c r="G14" s="12"/>
      <c r="H14" s="12">
        <f>+Award!F13</f>
        <v>0</v>
      </c>
      <c r="I14" s="112">
        <f>+Award!AR13</f>
        <v>0</v>
      </c>
      <c r="J14" s="12" t="str">
        <f>+IF(Award!J13=12,Award!AB13," ")</f>
        <v xml:space="preserve"> </v>
      </c>
      <c r="K14" s="111">
        <f>+IF(Award!J13&lt;12,Award!AB13," ")</f>
        <v>0</v>
      </c>
      <c r="L14" s="111">
        <f>+IF(Award!J13&lt;12,Award!M13," ")</f>
        <v>0</v>
      </c>
      <c r="M14" s="112">
        <f>+Award!Q13</f>
        <v>0</v>
      </c>
      <c r="N14" s="112">
        <f>+Award!AI13</f>
        <v>0</v>
      </c>
      <c r="O14" s="112">
        <f t="shared" si="0"/>
        <v>0</v>
      </c>
    </row>
    <row r="15" spans="1:15" x14ac:dyDescent="0.25">
      <c r="A15">
        <v>6</v>
      </c>
      <c r="B15" s="12"/>
      <c r="C15" s="12">
        <f>+Award!C14</f>
        <v>0</v>
      </c>
      <c r="D15" s="12" t="s">
        <v>80</v>
      </c>
      <c r="E15" s="12">
        <f>+Award!D14</f>
        <v>0</v>
      </c>
      <c r="F15" s="12"/>
      <c r="G15" s="12"/>
      <c r="H15" s="12">
        <f>+Award!F14</f>
        <v>0</v>
      </c>
      <c r="I15" s="112">
        <f>+Award!AR14</f>
        <v>0</v>
      </c>
      <c r="J15" s="12">
        <f>+IF(Award!J14=12,Award!AB14," ")</f>
        <v>0</v>
      </c>
      <c r="K15" s="111" t="str">
        <f>+IF(Award!J14&lt;12,Award!AB14," ")</f>
        <v xml:space="preserve"> </v>
      </c>
      <c r="L15" s="111" t="str">
        <f>+IF(Award!J14&lt;12,Award!M14," ")</f>
        <v xml:space="preserve"> </v>
      </c>
      <c r="M15" s="112">
        <f>+Award!Q14</f>
        <v>0</v>
      </c>
      <c r="N15" s="112">
        <f>+Award!AI14</f>
        <v>0</v>
      </c>
      <c r="O15" s="112">
        <f t="shared" si="0"/>
        <v>0</v>
      </c>
    </row>
    <row r="16" spans="1:15" x14ac:dyDescent="0.25">
      <c r="A16">
        <v>7</v>
      </c>
      <c r="B16" s="12"/>
      <c r="C16" s="12">
        <f>+Award!C15</f>
        <v>0</v>
      </c>
      <c r="D16" s="12" t="s">
        <v>80</v>
      </c>
      <c r="E16" s="12">
        <f>+Award!D15</f>
        <v>0</v>
      </c>
      <c r="F16" s="12"/>
      <c r="G16" s="12"/>
      <c r="H16" s="12">
        <f>+Award!F15</f>
        <v>0</v>
      </c>
      <c r="I16" s="112">
        <f>+Award!AR15</f>
        <v>0</v>
      </c>
      <c r="J16" s="12" t="str">
        <f>+IF(Award!J15=12,Award!AB15," ")</f>
        <v xml:space="preserve"> </v>
      </c>
      <c r="K16" s="111">
        <f>+IF(Award!J15&lt;12,Award!AB15," ")</f>
        <v>0</v>
      </c>
      <c r="L16" s="111">
        <f>+IF(Award!J15&lt;12,Award!M15," ")</f>
        <v>0</v>
      </c>
      <c r="M16" s="112">
        <f>+Award!Q15</f>
        <v>0</v>
      </c>
      <c r="N16" s="112">
        <f>+Award!AI15</f>
        <v>0</v>
      </c>
      <c r="O16" s="112">
        <f t="shared" si="0"/>
        <v>0</v>
      </c>
    </row>
    <row r="17" spans="1:17" x14ac:dyDescent="0.25">
      <c r="A17">
        <v>8</v>
      </c>
      <c r="B17" s="12"/>
      <c r="C17" s="12">
        <f>+Award!C16</f>
        <v>0</v>
      </c>
      <c r="D17" s="12" t="s">
        <v>80</v>
      </c>
      <c r="E17" s="12">
        <f>+Award!D16</f>
        <v>0</v>
      </c>
      <c r="F17" s="12"/>
      <c r="G17" s="12"/>
      <c r="H17" s="12">
        <f>+Award!F16</f>
        <v>0</v>
      </c>
      <c r="I17" s="112">
        <f>+Award!AR16</f>
        <v>0</v>
      </c>
      <c r="J17" s="12" t="str">
        <f>+IF(Award!J16=12,Award!AB16," ")</f>
        <v xml:space="preserve"> </v>
      </c>
      <c r="K17" s="111">
        <f>+IF(Award!J16&lt;12,Award!AB16," ")</f>
        <v>0</v>
      </c>
      <c r="L17" s="111">
        <f>+IF(Award!J16&lt;12,Award!M16," ")</f>
        <v>0</v>
      </c>
      <c r="M17" s="112">
        <f>+Award!Q16</f>
        <v>0</v>
      </c>
      <c r="N17" s="112">
        <f>+Award!AI16</f>
        <v>0</v>
      </c>
      <c r="O17" s="112">
        <f t="shared" si="0"/>
        <v>0</v>
      </c>
    </row>
    <row r="18" spans="1:17" x14ac:dyDescent="0.25">
      <c r="A18">
        <v>9</v>
      </c>
      <c r="B18" s="162"/>
      <c r="C18" s="162">
        <f>+Award!C17</f>
        <v>0</v>
      </c>
      <c r="D18" s="162" t="s">
        <v>80</v>
      </c>
      <c r="E18" s="162">
        <f>+Award!D17</f>
        <v>0</v>
      </c>
      <c r="F18" s="162"/>
      <c r="G18" s="162"/>
      <c r="H18" s="162">
        <f>+Award!F17</f>
        <v>0</v>
      </c>
      <c r="I18" s="163">
        <f>+Award!AR17</f>
        <v>0</v>
      </c>
      <c r="J18" s="12" t="str">
        <f>+IF(Award!J17=12,Award!AB17," ")</f>
        <v xml:space="preserve"> </v>
      </c>
      <c r="K18" s="111">
        <f>+IF(Award!J17&lt;12,Award!AB17," ")</f>
        <v>0</v>
      </c>
      <c r="L18" s="111">
        <f>+IF(Award!J17&lt;12,Award!M17," ")</f>
        <v>0</v>
      </c>
      <c r="M18" s="163">
        <f>+Award!Q17</f>
        <v>0</v>
      </c>
      <c r="N18" s="163">
        <f>+Award!AI17</f>
        <v>0</v>
      </c>
      <c r="O18" s="163">
        <f t="shared" si="0"/>
        <v>0</v>
      </c>
    </row>
    <row r="19" spans="1:17" x14ac:dyDescent="0.25">
      <c r="A19">
        <v>10</v>
      </c>
      <c r="B19" s="162"/>
      <c r="C19" s="162">
        <f>+Award!C18</f>
        <v>0</v>
      </c>
      <c r="D19" s="162" t="s">
        <v>80</v>
      </c>
      <c r="E19" s="162">
        <f>+Award!D18</f>
        <v>0</v>
      </c>
      <c r="F19" s="162"/>
      <c r="G19" s="162"/>
      <c r="H19" s="162">
        <f>+Award!F18</f>
        <v>0</v>
      </c>
      <c r="I19" s="163">
        <f>+Award!AR18</f>
        <v>0</v>
      </c>
      <c r="J19" s="12">
        <f>+IF(Award!J18=12,Award!AB18," ")</f>
        <v>0</v>
      </c>
      <c r="K19" s="111" t="str">
        <f>+IF(Award!J18&lt;12,Award!AB18," ")</f>
        <v xml:space="preserve"> </v>
      </c>
      <c r="L19" s="111" t="str">
        <f>+IF(Award!J18&lt;12,Award!M18," ")</f>
        <v xml:space="preserve"> </v>
      </c>
      <c r="M19" s="163">
        <f>+Award!Q18</f>
        <v>0</v>
      </c>
      <c r="N19" s="163">
        <f>+Award!AI18</f>
        <v>0</v>
      </c>
      <c r="O19" s="163">
        <f t="shared" si="0"/>
        <v>0</v>
      </c>
    </row>
    <row r="20" spans="1:17" x14ac:dyDescent="0.25">
      <c r="A20">
        <v>11</v>
      </c>
      <c r="B20" s="162"/>
      <c r="C20" s="162">
        <f>+Award!C19</f>
        <v>0</v>
      </c>
      <c r="D20" s="162" t="s">
        <v>80</v>
      </c>
      <c r="E20" s="162">
        <f>+Award!D19</f>
        <v>0</v>
      </c>
      <c r="F20" s="162"/>
      <c r="G20" s="162"/>
      <c r="H20" s="162">
        <f>+Award!F19</f>
        <v>0</v>
      </c>
      <c r="I20" s="163">
        <f>+Award!AR19</f>
        <v>0</v>
      </c>
      <c r="J20" s="12" t="str">
        <f>+IF(Award!J19=12,Award!AB19," ")</f>
        <v xml:space="preserve"> </v>
      </c>
      <c r="K20" s="111">
        <f>+IF(Award!J19&lt;12,Award!AB19," ")</f>
        <v>0</v>
      </c>
      <c r="L20" s="111">
        <f>+IF(Award!J19&lt;12,Award!M19," ")</f>
        <v>0</v>
      </c>
      <c r="M20" s="163">
        <f>+Award!Q19</f>
        <v>0</v>
      </c>
      <c r="N20" s="163">
        <f>+Award!AI19</f>
        <v>0</v>
      </c>
      <c r="O20" s="163">
        <f t="shared" si="0"/>
        <v>0</v>
      </c>
    </row>
    <row r="21" spans="1:17" x14ac:dyDescent="0.25">
      <c r="A21">
        <v>12</v>
      </c>
      <c r="B21" s="162"/>
      <c r="C21" s="162">
        <f>+Award!C20</f>
        <v>0</v>
      </c>
      <c r="D21" s="162" t="s">
        <v>80</v>
      </c>
      <c r="E21" s="162">
        <f>+Award!D20</f>
        <v>0</v>
      </c>
      <c r="F21" s="162"/>
      <c r="G21" s="162"/>
      <c r="H21" s="162">
        <f>+Award!F20</f>
        <v>0</v>
      </c>
      <c r="I21" s="163">
        <f>+Award!AR20</f>
        <v>0</v>
      </c>
      <c r="J21" s="12" t="str">
        <f>+IF(Award!J20=12,Award!AB20," ")</f>
        <v xml:space="preserve"> </v>
      </c>
      <c r="K21" s="111">
        <f>+IF(Award!J20&lt;12,Award!AB20," ")</f>
        <v>0</v>
      </c>
      <c r="L21" s="111">
        <f>+IF(Award!J20&lt;12,Award!M20," ")</f>
        <v>0</v>
      </c>
      <c r="M21" s="163">
        <f>+Award!Q20</f>
        <v>0</v>
      </c>
      <c r="N21" s="163">
        <f>+Award!AI20</f>
        <v>0</v>
      </c>
      <c r="O21" s="163">
        <f t="shared" si="0"/>
        <v>0</v>
      </c>
    </row>
    <row r="22" spans="1:17" x14ac:dyDescent="0.25">
      <c r="A22">
        <v>13</v>
      </c>
      <c r="B22" s="162"/>
      <c r="C22" s="162">
        <f>+Award!C21</f>
        <v>0</v>
      </c>
      <c r="D22" s="162" t="s">
        <v>80</v>
      </c>
      <c r="E22" s="162">
        <f>+Award!D21</f>
        <v>0</v>
      </c>
      <c r="F22" s="162"/>
      <c r="G22" s="162"/>
      <c r="H22" s="162">
        <f>+Award!F21</f>
        <v>0</v>
      </c>
      <c r="I22" s="163">
        <f>+Award!AR21</f>
        <v>0</v>
      </c>
      <c r="J22" s="12">
        <f>+IF(Award!J21=12,Award!AB21," ")</f>
        <v>0</v>
      </c>
      <c r="K22" s="111" t="str">
        <f>+IF(Award!J21&lt;12,Award!AB21," ")</f>
        <v xml:space="preserve"> </v>
      </c>
      <c r="L22" s="111" t="str">
        <f>+IF(Award!J21&lt;12,Award!M21," ")</f>
        <v xml:space="preserve"> </v>
      </c>
      <c r="M22" s="163">
        <f>+Award!Q21</f>
        <v>0</v>
      </c>
      <c r="N22" s="163">
        <f>+Award!AI21</f>
        <v>0</v>
      </c>
      <c r="O22" s="163">
        <f t="shared" si="0"/>
        <v>0</v>
      </c>
    </row>
    <row r="23" spans="1:17" x14ac:dyDescent="0.25">
      <c r="A23">
        <v>14</v>
      </c>
      <c r="B23" s="162"/>
      <c r="C23" s="162">
        <f>+Award!C22</f>
        <v>0</v>
      </c>
      <c r="D23" s="162" t="s">
        <v>80</v>
      </c>
      <c r="E23" s="162">
        <f>+Award!D22</f>
        <v>0</v>
      </c>
      <c r="F23" s="162"/>
      <c r="G23" s="162"/>
      <c r="H23" s="162">
        <f>+Award!F22</f>
        <v>0</v>
      </c>
      <c r="I23" s="163">
        <f>+Award!AR22</f>
        <v>0</v>
      </c>
      <c r="J23" s="12" t="str">
        <f>+IF(Award!J22=12,Award!AB22," ")</f>
        <v xml:space="preserve"> </v>
      </c>
      <c r="K23" s="111">
        <f>+IF(Award!J22&lt;12,Award!AB22," ")</f>
        <v>0</v>
      </c>
      <c r="L23" s="111">
        <f>+IF(Award!J22&lt;12,Award!M22," ")</f>
        <v>0</v>
      </c>
      <c r="M23" s="163">
        <f>+Award!Q22</f>
        <v>0</v>
      </c>
      <c r="N23" s="163">
        <f>+Award!AI22</f>
        <v>0</v>
      </c>
      <c r="O23" s="163">
        <f t="shared" si="0"/>
        <v>0</v>
      </c>
    </row>
    <row r="24" spans="1:17" x14ac:dyDescent="0.25">
      <c r="A24">
        <v>15</v>
      </c>
      <c r="B24" s="162"/>
      <c r="C24" s="162">
        <f>+Award!C23</f>
        <v>0</v>
      </c>
      <c r="D24" s="162" t="s">
        <v>80</v>
      </c>
      <c r="E24" s="162">
        <f>+Award!D23</f>
        <v>0</v>
      </c>
      <c r="F24" s="162"/>
      <c r="G24" s="162"/>
      <c r="H24" s="162">
        <f>+Award!F23</f>
        <v>0</v>
      </c>
      <c r="I24" s="163">
        <f>+Award!AR23</f>
        <v>0</v>
      </c>
      <c r="J24" s="12" t="str">
        <f>+IF(Award!J23=12,Award!AB23," ")</f>
        <v xml:space="preserve"> </v>
      </c>
      <c r="K24" s="111">
        <f>+IF(Award!J23&lt;12,Award!AB23," ")</f>
        <v>0</v>
      </c>
      <c r="L24" s="111">
        <f>+IF(Award!J23&lt;12,Award!M23," ")</f>
        <v>0</v>
      </c>
      <c r="M24" s="163">
        <f>+Award!Q23</f>
        <v>0</v>
      </c>
      <c r="N24" s="163">
        <f>+Award!AI23</f>
        <v>0</v>
      </c>
      <c r="O24" s="163">
        <f t="shared" si="0"/>
        <v>0</v>
      </c>
    </row>
    <row r="25" spans="1:17" x14ac:dyDescent="0.25">
      <c r="A25">
        <v>16</v>
      </c>
      <c r="B25" s="162"/>
      <c r="C25" s="162">
        <f>+Award!C24</f>
        <v>0</v>
      </c>
      <c r="D25" s="162" t="s">
        <v>80</v>
      </c>
      <c r="E25" s="162">
        <f>+Award!D24</f>
        <v>0</v>
      </c>
      <c r="F25" s="162"/>
      <c r="G25" s="162"/>
      <c r="H25" s="162">
        <f>+Award!F24</f>
        <v>0</v>
      </c>
      <c r="I25" s="163">
        <f>+Award!AR24</f>
        <v>0</v>
      </c>
      <c r="J25" s="12" t="str">
        <f>+IF(Award!J24=12,Award!AB24," ")</f>
        <v xml:space="preserve"> </v>
      </c>
      <c r="K25" s="111">
        <f>+IF(Award!J24&lt;12,Award!AB24," ")</f>
        <v>0</v>
      </c>
      <c r="L25" s="111">
        <f>+IF(Award!J24&lt;12,Award!M24," ")</f>
        <v>0</v>
      </c>
      <c r="M25" s="163">
        <f>+Award!Q24</f>
        <v>0</v>
      </c>
      <c r="N25" s="163">
        <f>+Award!AI24</f>
        <v>0</v>
      </c>
      <c r="O25" s="163">
        <f t="shared" si="0"/>
        <v>0</v>
      </c>
    </row>
    <row r="26" spans="1:17" x14ac:dyDescent="0.25">
      <c r="B26" t="s">
        <v>199</v>
      </c>
      <c r="M26" s="50"/>
      <c r="N26" s="50"/>
      <c r="O26" s="112" t="s">
        <v>80</v>
      </c>
    </row>
    <row r="27" spans="1:17" x14ac:dyDescent="0.25">
      <c r="M27" s="50"/>
      <c r="N27" s="50"/>
      <c r="O27" s="112">
        <f>IF(Award!S4&gt;1,SUM(O10:O26),0)</f>
        <v>0</v>
      </c>
      <c r="Q27" t="str">
        <f>+IF(O27=Award!Q25+Award!Q39," ", "Does not equal budget")</f>
        <v xml:space="preserve"> </v>
      </c>
    </row>
    <row r="29" spans="1:17" x14ac:dyDescent="0.25">
      <c r="B29" t="s">
        <v>202</v>
      </c>
    </row>
    <row r="32" spans="1:17" x14ac:dyDescent="0.25">
      <c r="B32" s="7" t="s">
        <v>203</v>
      </c>
    </row>
    <row r="33" spans="2:17" s="110" customFormat="1" ht="60" x14ac:dyDescent="0.25">
      <c r="B33" s="110" t="s">
        <v>204</v>
      </c>
      <c r="F33" s="3" t="s">
        <v>6</v>
      </c>
      <c r="J33" s="3" t="s">
        <v>193</v>
      </c>
      <c r="K33" s="3" t="s">
        <v>192</v>
      </c>
      <c r="L33" s="3" t="s">
        <v>188</v>
      </c>
      <c r="M33" s="3" t="s">
        <v>189</v>
      </c>
      <c r="N33" s="3" t="s">
        <v>190</v>
      </c>
      <c r="O33" s="3" t="s">
        <v>191</v>
      </c>
    </row>
    <row r="34" spans="2:17" x14ac:dyDescent="0.25">
      <c r="B34" s="12">
        <f>+Award!C28</f>
        <v>0</v>
      </c>
      <c r="F34" t="s">
        <v>205</v>
      </c>
      <c r="J34" s="116">
        <f>+IF(Award!S4&gt;1,Award!AC28,0)</f>
        <v>0</v>
      </c>
      <c r="K34" s="12"/>
      <c r="L34" s="12"/>
      <c r="M34" s="112">
        <f>+IF(Award!S4&gt;1,Award!Q28,0)</f>
        <v>0</v>
      </c>
      <c r="N34" s="112">
        <f>+IF(Award!S4&gt;1,Award!AI28,0)</f>
        <v>0</v>
      </c>
      <c r="O34" s="112">
        <f>+M34+N34</f>
        <v>0</v>
      </c>
    </row>
    <row r="35" spans="2:17" x14ac:dyDescent="0.25">
      <c r="B35" s="12">
        <f>+Award!C30+Award!C31</f>
        <v>0</v>
      </c>
      <c r="F35" t="s">
        <v>39</v>
      </c>
      <c r="J35" s="116">
        <f>+IF(Award!S4&gt;1,Award!AC30+Award!AC31,0)</f>
        <v>0</v>
      </c>
      <c r="K35" s="12"/>
      <c r="L35" s="12"/>
      <c r="M35" s="112">
        <f>+IF(Award!S4&gt;1,Award!Q30+Award!Q31,0)</f>
        <v>0</v>
      </c>
      <c r="N35" s="112">
        <f>+IF(Award!S4&gt;1,Award!AI30+Award!AI31,0)</f>
        <v>0</v>
      </c>
      <c r="O35" s="112">
        <f>+M35+N35</f>
        <v>0</v>
      </c>
    </row>
    <row r="36" spans="2:17" x14ac:dyDescent="0.25">
      <c r="B36" s="12">
        <f>+Award!C32</f>
        <v>0</v>
      </c>
      <c r="F36" t="s">
        <v>206</v>
      </c>
      <c r="J36" s="116">
        <f>+IF(Award!S4&gt;1,Award!AC32,0)</f>
        <v>0</v>
      </c>
      <c r="K36" s="12"/>
      <c r="L36" s="12"/>
      <c r="M36" s="112">
        <f>+IF(Award!S4&gt;1,Award!Q32,0)</f>
        <v>0</v>
      </c>
      <c r="N36" s="112">
        <f>+IF(Award!S4&gt;1,Award!AI32,0)</f>
        <v>0</v>
      </c>
      <c r="O36" s="112">
        <f>+M36+N36</f>
        <v>0</v>
      </c>
    </row>
    <row r="37" spans="2:17" x14ac:dyDescent="0.25">
      <c r="B37" s="12"/>
      <c r="F37" t="s">
        <v>207</v>
      </c>
      <c r="J37" s="12"/>
      <c r="K37" s="12"/>
      <c r="L37" s="12"/>
      <c r="M37" s="112"/>
      <c r="N37" s="112"/>
      <c r="O37" s="112"/>
    </row>
    <row r="38" spans="2:17" x14ac:dyDescent="0.25">
      <c r="B38" s="12">
        <f>+Award!C29</f>
        <v>0</v>
      </c>
      <c r="F38" s="12"/>
      <c r="J38" s="116">
        <f>+IF(Award!S4&gt;1,Award!AC29,0)</f>
        <v>0</v>
      </c>
      <c r="K38" s="12"/>
      <c r="L38" s="12"/>
      <c r="M38" s="112">
        <f>+IF(Award!S4&gt;1,Award!Q29,0)</f>
        <v>0</v>
      </c>
      <c r="N38" s="112">
        <f>+IF(Award!S4&gt;1,Award!AI29,0)</f>
        <v>0</v>
      </c>
      <c r="O38" s="112">
        <f t="shared" ref="O38:O43" si="1">+M38+N38</f>
        <v>0</v>
      </c>
    </row>
    <row r="39" spans="2:17" x14ac:dyDescent="0.25">
      <c r="B39" s="12">
        <f>+Award!C33</f>
        <v>0</v>
      </c>
      <c r="F39" s="12"/>
      <c r="J39" s="116">
        <f>+IF(Award!S4&gt;1,Award!AC33,0)</f>
        <v>0</v>
      </c>
      <c r="K39" s="12"/>
      <c r="L39" s="12"/>
      <c r="M39" s="112">
        <f>+IF(Award!S4&gt;1,Award!Q33,0)</f>
        <v>0</v>
      </c>
      <c r="N39" s="112">
        <f>+IF(Award!S4&gt;1,Award!AI33,0)</f>
        <v>0</v>
      </c>
      <c r="O39" s="112">
        <f t="shared" si="1"/>
        <v>0</v>
      </c>
    </row>
    <row r="40" spans="2:17" x14ac:dyDescent="0.25">
      <c r="B40" s="12"/>
      <c r="F40" s="12"/>
      <c r="J40" s="12"/>
      <c r="K40" s="12"/>
      <c r="L40" s="12"/>
      <c r="M40" s="112"/>
      <c r="N40" s="112"/>
      <c r="O40" s="112">
        <f t="shared" si="1"/>
        <v>0</v>
      </c>
    </row>
    <row r="41" spans="2:17" x14ac:dyDescent="0.25">
      <c r="B41" s="12"/>
      <c r="F41" s="12"/>
      <c r="J41" s="12"/>
      <c r="K41" s="12"/>
      <c r="L41" s="12"/>
      <c r="M41" s="112"/>
      <c r="N41" s="112"/>
      <c r="O41" s="112">
        <f t="shared" si="1"/>
        <v>0</v>
      </c>
    </row>
    <row r="42" spans="2:17" x14ac:dyDescent="0.25">
      <c r="B42" s="12"/>
      <c r="F42" s="12"/>
      <c r="J42" s="12"/>
      <c r="K42" s="12"/>
      <c r="L42" s="12"/>
      <c r="M42" s="112"/>
      <c r="N42" s="112"/>
      <c r="O42" s="112">
        <f t="shared" si="1"/>
        <v>0</v>
      </c>
    </row>
    <row r="43" spans="2:17" x14ac:dyDescent="0.25">
      <c r="B43" s="12"/>
      <c r="F43" s="12"/>
      <c r="J43" s="12"/>
      <c r="K43" s="12"/>
      <c r="L43" s="12"/>
      <c r="M43" s="112"/>
      <c r="N43" s="112"/>
      <c r="O43" s="112">
        <f t="shared" si="1"/>
        <v>0</v>
      </c>
    </row>
    <row r="44" spans="2:17" x14ac:dyDescent="0.25">
      <c r="B44" s="12">
        <f>IF(Award!S4&gt;1,SUM(B34:B43),0)</f>
        <v>0</v>
      </c>
      <c r="F44" t="s">
        <v>208</v>
      </c>
      <c r="M44" s="50"/>
      <c r="N44" s="117" t="s">
        <v>91</v>
      </c>
      <c r="O44" s="112">
        <f>SUM(O34:O43)</f>
        <v>0</v>
      </c>
      <c r="Q44" t="str">
        <f>+IF(O44=Award!Q34+Award!Q40," ","Does not equal budget")</f>
        <v xml:space="preserve"> </v>
      </c>
    </row>
    <row r="45" spans="2:17" x14ac:dyDescent="0.25">
      <c r="M45" s="50"/>
      <c r="N45" s="117" t="s">
        <v>209</v>
      </c>
      <c r="O45" s="118">
        <f>IF(Award!S4&gt;1,+O44+O27,0)</f>
        <v>0</v>
      </c>
      <c r="Q45" t="s">
        <v>80</v>
      </c>
    </row>
    <row r="48" spans="2:17" x14ac:dyDescent="0.25">
      <c r="B48" t="s">
        <v>175</v>
      </c>
      <c r="E48" s="12">
        <v>929929743</v>
      </c>
      <c r="F48" s="11"/>
    </row>
    <row r="49" spans="1:15" x14ac:dyDescent="0.25">
      <c r="B49" t="s">
        <v>176</v>
      </c>
      <c r="D49" t="s">
        <v>80</v>
      </c>
      <c r="E49" t="s">
        <v>200</v>
      </c>
      <c r="F49" t="s">
        <v>80</v>
      </c>
      <c r="G49" t="s">
        <v>201</v>
      </c>
    </row>
    <row r="50" spans="1:15" x14ac:dyDescent="0.25">
      <c r="B50" t="s">
        <v>177</v>
      </c>
      <c r="E50" t="s">
        <v>0</v>
      </c>
    </row>
    <row r="51" spans="1:15" x14ac:dyDescent="0.25">
      <c r="B51" t="s">
        <v>178</v>
      </c>
      <c r="C51" s="113">
        <f>+C5</f>
        <v>0</v>
      </c>
      <c r="E51" t="s">
        <v>179</v>
      </c>
      <c r="F51" s="113">
        <f>+F5</f>
        <v>0</v>
      </c>
      <c r="G51" s="383" t="s">
        <v>180</v>
      </c>
      <c r="H51" s="383"/>
      <c r="I51">
        <f>+I5</f>
        <v>2</v>
      </c>
    </row>
    <row r="53" spans="1:15" x14ac:dyDescent="0.25">
      <c r="B53" s="7" t="s">
        <v>210</v>
      </c>
    </row>
    <row r="54" spans="1:15" x14ac:dyDescent="0.25">
      <c r="B54" s="7" t="s">
        <v>211</v>
      </c>
    </row>
    <row r="55" spans="1:15" x14ac:dyDescent="0.25">
      <c r="E55" t="s">
        <v>212</v>
      </c>
      <c r="G55" s="121" t="s">
        <v>261</v>
      </c>
      <c r="H55" s="121"/>
      <c r="I55" s="121"/>
      <c r="O55" s="114" t="s">
        <v>213</v>
      </c>
    </row>
    <row r="56" spans="1:15" x14ac:dyDescent="0.25">
      <c r="A56">
        <v>1</v>
      </c>
      <c r="B56" s="384"/>
      <c r="C56" s="385"/>
      <c r="D56" s="385"/>
      <c r="E56" s="385"/>
      <c r="F56" s="385"/>
      <c r="G56" s="385"/>
      <c r="H56" s="385"/>
      <c r="I56" s="385"/>
      <c r="J56" s="385"/>
      <c r="K56" s="385"/>
      <c r="L56" s="385"/>
      <c r="M56" s="386"/>
      <c r="O56" s="112"/>
    </row>
    <row r="57" spans="1:15" x14ac:dyDescent="0.25">
      <c r="A57">
        <v>2</v>
      </c>
      <c r="B57" s="384"/>
      <c r="C57" s="385"/>
      <c r="D57" s="385"/>
      <c r="E57" s="385"/>
      <c r="F57" s="385"/>
      <c r="G57" s="385"/>
      <c r="H57" s="385"/>
      <c r="I57" s="385"/>
      <c r="J57" s="385"/>
      <c r="K57" s="385"/>
      <c r="L57" s="385"/>
      <c r="M57" s="386"/>
      <c r="O57" s="112"/>
    </row>
    <row r="58" spans="1:15" x14ac:dyDescent="0.25">
      <c r="A58">
        <v>3</v>
      </c>
      <c r="B58" s="384"/>
      <c r="C58" s="385"/>
      <c r="D58" s="385"/>
      <c r="E58" s="385"/>
      <c r="F58" s="385"/>
      <c r="G58" s="385"/>
      <c r="H58" s="385"/>
      <c r="I58" s="385"/>
      <c r="J58" s="385"/>
      <c r="K58" s="385"/>
      <c r="L58" s="385"/>
      <c r="M58" s="386"/>
      <c r="O58" s="112"/>
    </row>
    <row r="59" spans="1:15" x14ac:dyDescent="0.25">
      <c r="A59">
        <v>4</v>
      </c>
      <c r="B59" s="384"/>
      <c r="C59" s="385"/>
      <c r="D59" s="385"/>
      <c r="E59" s="385"/>
      <c r="F59" s="385"/>
      <c r="G59" s="385"/>
      <c r="H59" s="385"/>
      <c r="I59" s="385"/>
      <c r="J59" s="385"/>
      <c r="K59" s="385"/>
      <c r="L59" s="385"/>
      <c r="M59" s="386"/>
      <c r="O59" s="112"/>
    </row>
    <row r="60" spans="1:15" x14ac:dyDescent="0.25">
      <c r="A60">
        <v>5</v>
      </c>
      <c r="B60" s="384"/>
      <c r="C60" s="385"/>
      <c r="D60" s="385"/>
      <c r="E60" s="385"/>
      <c r="F60" s="385"/>
      <c r="G60" s="385"/>
      <c r="H60" s="385"/>
      <c r="I60" s="385"/>
      <c r="J60" s="385"/>
      <c r="K60" s="385"/>
      <c r="L60" s="385"/>
      <c r="M60" s="386"/>
      <c r="O60" s="112"/>
    </row>
    <row r="61" spans="1:15" x14ac:dyDescent="0.25">
      <c r="A61">
        <v>6</v>
      </c>
      <c r="B61" s="384"/>
      <c r="C61" s="385"/>
      <c r="D61" s="385"/>
      <c r="E61" s="385"/>
      <c r="F61" s="385"/>
      <c r="G61" s="385"/>
      <c r="H61" s="385"/>
      <c r="I61" s="385"/>
      <c r="J61" s="385"/>
      <c r="K61" s="385"/>
      <c r="L61" s="385"/>
      <c r="M61" s="386"/>
      <c r="O61" s="112"/>
    </row>
    <row r="62" spans="1:15" x14ac:dyDescent="0.25">
      <c r="A62">
        <v>7</v>
      </c>
      <c r="B62" s="384"/>
      <c r="C62" s="385"/>
      <c r="D62" s="385"/>
      <c r="E62" s="385"/>
      <c r="F62" s="385"/>
      <c r="G62" s="385"/>
      <c r="H62" s="385"/>
      <c r="I62" s="385"/>
      <c r="J62" s="385"/>
      <c r="K62" s="385"/>
      <c r="L62" s="385"/>
      <c r="M62" s="386"/>
      <c r="O62" s="112"/>
    </row>
    <row r="63" spans="1:15" x14ac:dyDescent="0.25">
      <c r="A63">
        <v>8</v>
      </c>
      <c r="B63" s="384"/>
      <c r="C63" s="385"/>
      <c r="D63" s="385"/>
      <c r="E63" s="385"/>
      <c r="F63" s="385"/>
      <c r="G63" s="385"/>
      <c r="H63" s="385"/>
      <c r="I63" s="385"/>
      <c r="J63" s="385"/>
      <c r="K63" s="385"/>
      <c r="L63" s="385"/>
      <c r="M63" s="386"/>
      <c r="O63" s="112"/>
    </row>
    <row r="64" spans="1:15" x14ac:dyDescent="0.25">
      <c r="A64">
        <v>9</v>
      </c>
      <c r="B64" s="384"/>
      <c r="C64" s="385"/>
      <c r="D64" s="385"/>
      <c r="E64" s="385"/>
      <c r="F64" s="385"/>
      <c r="G64" s="385"/>
      <c r="H64" s="385"/>
      <c r="I64" s="385"/>
      <c r="J64" s="385"/>
      <c r="K64" s="385"/>
      <c r="L64" s="385"/>
      <c r="M64" s="386"/>
      <c r="O64" s="112"/>
    </row>
    <row r="65" spans="1:15" x14ac:dyDescent="0.25">
      <c r="A65">
        <v>10</v>
      </c>
      <c r="B65" s="384"/>
      <c r="C65" s="385"/>
      <c r="D65" s="385"/>
      <c r="E65" s="385"/>
      <c r="F65" s="385"/>
      <c r="G65" s="385"/>
      <c r="H65" s="385"/>
      <c r="I65" s="385"/>
      <c r="J65" s="385"/>
      <c r="K65" s="385"/>
      <c r="L65" s="385"/>
      <c r="M65" s="386"/>
      <c r="O65" s="112"/>
    </row>
    <row r="66" spans="1:15" x14ac:dyDescent="0.25">
      <c r="A66">
        <v>11</v>
      </c>
      <c r="B66" t="s">
        <v>214</v>
      </c>
      <c r="O66" s="112">
        <f>IF(Award!S4&gt;1,SUM(O56:O65),0)</f>
        <v>0</v>
      </c>
    </row>
    <row r="69" spans="1:15" x14ac:dyDescent="0.25">
      <c r="B69" t="s">
        <v>215</v>
      </c>
      <c r="E69" s="387"/>
      <c r="F69" s="388"/>
      <c r="G69" s="388"/>
      <c r="H69" s="388"/>
      <c r="I69" s="388"/>
      <c r="J69" s="388"/>
      <c r="K69" s="388"/>
      <c r="L69" s="389"/>
    </row>
    <row r="72" spans="1:15" x14ac:dyDescent="0.25">
      <c r="B72" s="7" t="s">
        <v>216</v>
      </c>
      <c r="O72" s="114" t="s">
        <v>213</v>
      </c>
    </row>
    <row r="73" spans="1:15" x14ac:dyDescent="0.25">
      <c r="A73">
        <v>1</v>
      </c>
      <c r="B73" t="s">
        <v>217</v>
      </c>
      <c r="O73" s="112">
        <f>IF(Award!S4&gt;1,+Award!Q49,0)</f>
        <v>0</v>
      </c>
    </row>
    <row r="74" spans="1:15" x14ac:dyDescent="0.25">
      <c r="A74">
        <v>2</v>
      </c>
      <c r="B74" t="s">
        <v>218</v>
      </c>
      <c r="O74" s="112">
        <f>IF(Award!S4&gt;1,+Award!Q50,0)</f>
        <v>0</v>
      </c>
    </row>
    <row r="75" spans="1:15" x14ac:dyDescent="0.25">
      <c r="N75" s="30" t="s">
        <v>219</v>
      </c>
      <c r="O75" s="112">
        <f>SUM(O73:O74)</f>
        <v>0</v>
      </c>
    </row>
    <row r="76" spans="1:15" x14ac:dyDescent="0.25">
      <c r="O76" s="119"/>
    </row>
    <row r="77" spans="1:15" x14ac:dyDescent="0.25">
      <c r="B77" s="7" t="s">
        <v>220</v>
      </c>
      <c r="O77" s="120" t="s">
        <v>213</v>
      </c>
    </row>
    <row r="78" spans="1:15" x14ac:dyDescent="0.25">
      <c r="A78">
        <v>1</v>
      </c>
      <c r="B78" t="s">
        <v>221</v>
      </c>
      <c r="O78" s="112">
        <v>0</v>
      </c>
    </row>
    <row r="79" spans="1:15" x14ac:dyDescent="0.25">
      <c r="A79">
        <v>2</v>
      </c>
      <c r="B79" t="s">
        <v>57</v>
      </c>
      <c r="O79" s="112">
        <f>IF(Award!S4&gt;1,Award!Q54,0)</f>
        <v>0</v>
      </c>
    </row>
    <row r="80" spans="1:15" x14ac:dyDescent="0.25">
      <c r="A80">
        <v>3</v>
      </c>
      <c r="B80" t="s">
        <v>52</v>
      </c>
      <c r="O80" s="112">
        <f>+IF(Award!S4&gt;1,Award!Q55,0)</f>
        <v>0</v>
      </c>
    </row>
    <row r="81" spans="1:15" x14ac:dyDescent="0.25">
      <c r="A81">
        <v>4</v>
      </c>
      <c r="B81" t="s">
        <v>58</v>
      </c>
      <c r="O81" s="112">
        <f>+IF(Award!S4&gt;1,Award!Q56,0)</f>
        <v>0</v>
      </c>
    </row>
    <row r="82" spans="1:15" x14ac:dyDescent="0.25">
      <c r="A82">
        <v>5</v>
      </c>
      <c r="B82" t="s">
        <v>59</v>
      </c>
      <c r="C82" s="387"/>
      <c r="D82" s="388"/>
      <c r="E82" s="388"/>
      <c r="F82" s="388"/>
      <c r="G82" s="388"/>
      <c r="H82" s="388"/>
      <c r="I82" s="388"/>
      <c r="J82" s="388"/>
      <c r="K82" s="388"/>
      <c r="L82" s="389"/>
      <c r="O82" s="112">
        <f>+IF(Award!S4&gt;1,Award!Q57,0)</f>
        <v>0</v>
      </c>
    </row>
    <row r="83" spans="1:15" x14ac:dyDescent="0.25">
      <c r="A83" s="12"/>
      <c r="B83" t="s">
        <v>222</v>
      </c>
      <c r="N83" s="114" t="s">
        <v>223</v>
      </c>
      <c r="O83" s="112">
        <f>SUM(O78:O82)</f>
        <v>0</v>
      </c>
    </row>
    <row r="84" spans="1:15" x14ac:dyDescent="0.25">
      <c r="O84" s="119"/>
    </row>
    <row r="85" spans="1:15" x14ac:dyDescent="0.25">
      <c r="O85" s="119"/>
    </row>
    <row r="86" spans="1:15" x14ac:dyDescent="0.25">
      <c r="B86" t="s">
        <v>175</v>
      </c>
      <c r="E86" s="12">
        <v>929929743</v>
      </c>
      <c r="F86" s="11"/>
      <c r="O86" s="119"/>
    </row>
    <row r="87" spans="1:15" x14ac:dyDescent="0.25">
      <c r="B87" t="s">
        <v>176</v>
      </c>
      <c r="D87" t="s">
        <v>80</v>
      </c>
      <c r="E87" t="s">
        <v>200</v>
      </c>
      <c r="F87" t="s">
        <v>80</v>
      </c>
      <c r="G87" t="s">
        <v>201</v>
      </c>
      <c r="O87" s="119"/>
    </row>
    <row r="88" spans="1:15" x14ac:dyDescent="0.25">
      <c r="B88" t="s">
        <v>177</v>
      </c>
      <c r="E88" t="s">
        <v>0</v>
      </c>
      <c r="O88" s="119"/>
    </row>
    <row r="89" spans="1:15" x14ac:dyDescent="0.25">
      <c r="B89" t="s">
        <v>178</v>
      </c>
      <c r="C89" s="113">
        <f>+C51</f>
        <v>0</v>
      </c>
      <c r="E89" t="s">
        <v>179</v>
      </c>
      <c r="F89" s="113">
        <f>+F51</f>
        <v>0</v>
      </c>
      <c r="G89" s="383" t="s">
        <v>180</v>
      </c>
      <c r="H89" s="383"/>
      <c r="I89">
        <f>+I51</f>
        <v>2</v>
      </c>
      <c r="O89" s="119"/>
    </row>
    <row r="90" spans="1:15" x14ac:dyDescent="0.25">
      <c r="O90" s="119"/>
    </row>
    <row r="91" spans="1:15" x14ac:dyDescent="0.25">
      <c r="B91" s="7" t="s">
        <v>224</v>
      </c>
      <c r="O91" s="120" t="s">
        <v>213</v>
      </c>
    </row>
    <row r="92" spans="1:15" x14ac:dyDescent="0.25">
      <c r="A92">
        <v>1</v>
      </c>
      <c r="B92" t="s">
        <v>225</v>
      </c>
      <c r="O92" s="112">
        <f>+IF(Award!S4&gt;1,Award!Q61,0)</f>
        <v>0</v>
      </c>
    </row>
    <row r="93" spans="1:15" x14ac:dyDescent="0.25">
      <c r="A93">
        <v>2</v>
      </c>
      <c r="B93" t="s">
        <v>65</v>
      </c>
      <c r="O93" s="112">
        <f>+IF(Award!S4&gt;1,Award!Q62,0)</f>
        <v>0</v>
      </c>
    </row>
    <row r="94" spans="1:15" x14ac:dyDescent="0.25">
      <c r="A94">
        <v>3</v>
      </c>
      <c r="B94" t="s">
        <v>226</v>
      </c>
      <c r="O94" s="112">
        <f>+IF(Award!S4&gt;1,Award!Q63,0)</f>
        <v>0</v>
      </c>
    </row>
    <row r="95" spans="1:15" x14ac:dyDescent="0.25">
      <c r="A95">
        <v>4</v>
      </c>
      <c r="B95" t="s">
        <v>227</v>
      </c>
      <c r="O95" s="112">
        <f>+IF(Award!S4&gt;1,Award!Q64,0)</f>
        <v>0</v>
      </c>
    </row>
    <row r="96" spans="1:15" x14ac:dyDescent="0.25">
      <c r="A96">
        <v>5</v>
      </c>
      <c r="B96" t="s">
        <v>228</v>
      </c>
      <c r="O96" s="112">
        <f>+IF(Award!S4&gt;1,SUM(Award!Q66:Q85),0)</f>
        <v>0</v>
      </c>
    </row>
    <row r="97" spans="1:17" x14ac:dyDescent="0.25">
      <c r="A97">
        <v>6</v>
      </c>
      <c r="B97" t="s">
        <v>229</v>
      </c>
      <c r="O97" s="112">
        <f>+IF(Award!S4&gt;1,Award!Q46,0)</f>
        <v>0</v>
      </c>
    </row>
    <row r="98" spans="1:17" x14ac:dyDescent="0.25">
      <c r="A98">
        <v>7</v>
      </c>
      <c r="B98" t="s">
        <v>230</v>
      </c>
      <c r="O98" s="112">
        <v>0</v>
      </c>
    </row>
    <row r="99" spans="1:17" x14ac:dyDescent="0.25">
      <c r="A99">
        <v>8</v>
      </c>
      <c r="B99" s="387" t="str">
        <f>+Award!C86</f>
        <v>Tuition / Tuition Remission</v>
      </c>
      <c r="C99" s="388"/>
      <c r="D99" s="388"/>
      <c r="E99" s="388"/>
      <c r="F99" s="388"/>
      <c r="G99" s="388"/>
      <c r="H99" s="388"/>
      <c r="I99" s="388"/>
      <c r="J99" s="388"/>
      <c r="K99" s="389"/>
      <c r="O99" s="112">
        <f>IF(Award!S4&gt;1,Award!Q86,0)</f>
        <v>0</v>
      </c>
    </row>
    <row r="100" spans="1:17" x14ac:dyDescent="0.25">
      <c r="A100">
        <v>9</v>
      </c>
      <c r="B100" s="387"/>
      <c r="C100" s="388"/>
      <c r="D100" s="388"/>
      <c r="E100" s="388"/>
      <c r="F100" s="388"/>
      <c r="G100" s="388"/>
      <c r="H100" s="388"/>
      <c r="I100" s="388"/>
      <c r="J100" s="388"/>
      <c r="K100" s="389"/>
      <c r="O100" s="112">
        <f>+IF(Award!S4&gt;1,Award!Q87,0)</f>
        <v>0</v>
      </c>
    </row>
    <row r="101" spans="1:17" x14ac:dyDescent="0.25">
      <c r="A101">
        <v>10</v>
      </c>
      <c r="B101" s="387"/>
      <c r="C101" s="388"/>
      <c r="D101" s="388"/>
      <c r="E101" s="388"/>
      <c r="F101" s="388"/>
      <c r="G101" s="388"/>
      <c r="H101" s="388"/>
      <c r="I101" s="388"/>
      <c r="J101" s="388"/>
      <c r="K101" s="389"/>
      <c r="O101" s="112" t="s">
        <v>80</v>
      </c>
    </row>
    <row r="102" spans="1:17" x14ac:dyDescent="0.25">
      <c r="N102" s="114" t="s">
        <v>71</v>
      </c>
      <c r="O102" s="112">
        <f>SUM(O92:O101)</f>
        <v>0</v>
      </c>
    </row>
    <row r="103" spans="1:17" x14ac:dyDescent="0.25">
      <c r="O103" s="119"/>
    </row>
    <row r="104" spans="1:17" x14ac:dyDescent="0.25">
      <c r="O104" s="119"/>
    </row>
    <row r="105" spans="1:17" x14ac:dyDescent="0.25">
      <c r="B105" s="7" t="s">
        <v>231</v>
      </c>
      <c r="O105" s="120" t="s">
        <v>213</v>
      </c>
    </row>
    <row r="106" spans="1:17" x14ac:dyDescent="0.25">
      <c r="N106" s="114" t="s">
        <v>232</v>
      </c>
      <c r="O106" s="112">
        <f>+ROUND(O102+O83+O75+O66+O45,0)</f>
        <v>0</v>
      </c>
      <c r="Q106" t="str">
        <f>+IF(O106=Award!Q90,"Equals Budget", "Does not Equal Budget")</f>
        <v>Equals Budget</v>
      </c>
    </row>
    <row r="107" spans="1:17" x14ac:dyDescent="0.25">
      <c r="O107" s="119"/>
    </row>
    <row r="108" spans="1:17" x14ac:dyDescent="0.25">
      <c r="B108" t="s">
        <v>233</v>
      </c>
      <c r="O108" s="119"/>
    </row>
    <row r="109" spans="1:17" s="115" customFormat="1" x14ac:dyDescent="0.25">
      <c r="C109" s="115" t="s">
        <v>235</v>
      </c>
      <c r="I109" s="115" t="s">
        <v>236</v>
      </c>
      <c r="L109" s="115" t="s">
        <v>234</v>
      </c>
      <c r="O109" s="120" t="s">
        <v>213</v>
      </c>
    </row>
    <row r="110" spans="1:17" x14ac:dyDescent="0.25">
      <c r="A110">
        <v>1</v>
      </c>
      <c r="B110" s="387" t="str">
        <f>+IF(Award!$H$93&gt;0,"MTDC",IF(Award!$H$94&gt;0,"TDC", IF(Award!$H$95&gt;0, "TFFA"," ")))</f>
        <v>TFFA</v>
      </c>
      <c r="C110" s="388"/>
      <c r="D110" s="388"/>
      <c r="E110" s="388"/>
      <c r="F110" s="389"/>
      <c r="I110" s="392" t="str">
        <f>+IF(Award!$H$93&gt;0,Award!H93,IF(Award!$H$94&gt;0,Award!H94,IF(Award!$H$95&gt;0,Award!H95,0)))</f>
        <v xml:space="preserve"> </v>
      </c>
      <c r="J110" s="393"/>
      <c r="L110" s="390">
        <f>+IF(Award!$H$93&gt;0,Award!P93,IF(Award!$H$94&gt;0,Award!Q90,IF(Award!$H$95&gt;0,Award!Q90,0)))</f>
        <v>0</v>
      </c>
      <c r="M110" s="391"/>
      <c r="O110" s="112" t="e">
        <f>+ROUND(L110*I110,0)</f>
        <v>#VALUE!</v>
      </c>
      <c r="Q110" t="s">
        <v>80</v>
      </c>
    </row>
    <row r="111" spans="1:17" x14ac:dyDescent="0.25">
      <c r="A111">
        <v>2</v>
      </c>
      <c r="B111" s="387"/>
      <c r="C111" s="388"/>
      <c r="D111" s="388"/>
      <c r="E111" s="388"/>
      <c r="F111" s="389"/>
      <c r="I111" s="387"/>
      <c r="J111" s="389"/>
      <c r="L111" s="387"/>
      <c r="M111" s="389"/>
      <c r="O111" s="112" t="s">
        <v>80</v>
      </c>
    </row>
    <row r="112" spans="1:17" x14ac:dyDescent="0.25">
      <c r="A112">
        <v>3</v>
      </c>
      <c r="B112" s="387"/>
      <c r="C112" s="388"/>
      <c r="D112" s="388"/>
      <c r="E112" s="388"/>
      <c r="F112" s="389"/>
      <c r="I112" s="387"/>
      <c r="J112" s="389"/>
      <c r="L112" s="387"/>
      <c r="M112" s="389"/>
      <c r="O112" s="112" t="s">
        <v>80</v>
      </c>
    </row>
    <row r="113" spans="1:17" x14ac:dyDescent="0.25">
      <c r="A113">
        <v>4</v>
      </c>
      <c r="B113" s="387"/>
      <c r="C113" s="388"/>
      <c r="D113" s="388"/>
      <c r="E113" s="388"/>
      <c r="F113" s="389"/>
      <c r="I113" s="387"/>
      <c r="J113" s="389"/>
      <c r="L113" s="387"/>
      <c r="M113" s="389"/>
      <c r="O113" s="112" t="s">
        <v>80</v>
      </c>
    </row>
    <row r="114" spans="1:17" x14ac:dyDescent="0.25">
      <c r="N114" s="114" t="s">
        <v>237</v>
      </c>
      <c r="O114" s="112" t="e">
        <f>SUM(O110:O113)</f>
        <v>#VALUE!</v>
      </c>
    </row>
    <row r="117" spans="1:17" x14ac:dyDescent="0.25">
      <c r="B117" t="s">
        <v>239</v>
      </c>
      <c r="F117" s="387" t="s">
        <v>241</v>
      </c>
      <c r="G117" s="388"/>
      <c r="H117" s="388"/>
      <c r="I117" s="388"/>
      <c r="J117" s="388"/>
      <c r="K117" s="388"/>
      <c r="L117" s="388"/>
      <c r="M117" s="388"/>
      <c r="N117" s="388"/>
      <c r="O117" s="389"/>
    </row>
    <row r="118" spans="1:17" x14ac:dyDescent="0.25">
      <c r="B118" t="s">
        <v>240</v>
      </c>
    </row>
    <row r="120" spans="1:17" x14ac:dyDescent="0.25">
      <c r="B120" s="7" t="s">
        <v>238</v>
      </c>
      <c r="O120" s="114" t="s">
        <v>213</v>
      </c>
    </row>
    <row r="121" spans="1:17" x14ac:dyDescent="0.25">
      <c r="E121" t="s">
        <v>242</v>
      </c>
      <c r="O121" s="112" t="e">
        <f>+ROUND(O106+O114,0)</f>
        <v>#VALUE!</v>
      </c>
      <c r="Q121" t="e">
        <f>+IF(O121=Award!Q98,"Equals Budget", "Does not Equal Budget")</f>
        <v>#VALUE!</v>
      </c>
    </row>
    <row r="122" spans="1:17" x14ac:dyDescent="0.25">
      <c r="O122" s="50"/>
    </row>
    <row r="123" spans="1:17" x14ac:dyDescent="0.25">
      <c r="O123" s="50"/>
    </row>
    <row r="124" spans="1:17" x14ac:dyDescent="0.25">
      <c r="B124" s="7" t="s">
        <v>243</v>
      </c>
      <c r="O124" s="117" t="s">
        <v>213</v>
      </c>
    </row>
    <row r="125" spans="1:17" x14ac:dyDescent="0.25">
      <c r="O125" s="112">
        <v>0</v>
      </c>
    </row>
    <row r="126" spans="1:17" x14ac:dyDescent="0.25">
      <c r="O126" s="50"/>
    </row>
    <row r="128" spans="1:17" x14ac:dyDescent="0.25">
      <c r="B128" s="7" t="s">
        <v>244</v>
      </c>
      <c r="E128" s="387"/>
      <c r="F128" s="388"/>
      <c r="G128" s="388"/>
      <c r="H128" s="388"/>
      <c r="I128" s="389"/>
    </row>
  </sheetData>
  <sheetProtection algorithmName="SHA-512" hashValue="UqvRYGglWsad7EL/4NM4t7jiaV3F7tUkUX4DOn0HoxgZ3F3i7rG4cTwMM9loxPrmSo+mOEoxgI5SAmgMB1z3bg==" saltValue="zqPT8JPZMnuGh4D3PrRu8w==" spinCount="100000" sheet="1" objects="1" scenarios="1"/>
  <mergeCells count="32">
    <mergeCell ref="F117:O117"/>
    <mergeCell ref="E128:I128"/>
    <mergeCell ref="B112:F112"/>
    <mergeCell ref="I112:J112"/>
    <mergeCell ref="L112:M112"/>
    <mergeCell ref="B113:F113"/>
    <mergeCell ref="I113:J113"/>
    <mergeCell ref="L113:M113"/>
    <mergeCell ref="B110:F110"/>
    <mergeCell ref="I110:J110"/>
    <mergeCell ref="L110:M110"/>
    <mergeCell ref="B111:F111"/>
    <mergeCell ref="I111:J111"/>
    <mergeCell ref="L111:M111"/>
    <mergeCell ref="B101:K101"/>
    <mergeCell ref="B60:M60"/>
    <mergeCell ref="B61:M61"/>
    <mergeCell ref="B62:M62"/>
    <mergeCell ref="B63:M63"/>
    <mergeCell ref="B64:M64"/>
    <mergeCell ref="B65:M65"/>
    <mergeCell ref="E69:L69"/>
    <mergeCell ref="C82:L82"/>
    <mergeCell ref="G89:H89"/>
    <mergeCell ref="B99:K99"/>
    <mergeCell ref="B100:K100"/>
    <mergeCell ref="B59:M59"/>
    <mergeCell ref="G5:H5"/>
    <mergeCell ref="G51:H51"/>
    <mergeCell ref="B56:M56"/>
    <mergeCell ref="B57:M57"/>
    <mergeCell ref="B58:M58"/>
  </mergeCells>
  <pageMargins left="0.7" right="0.7" top="0.75" bottom="0.75" header="0.3" footer="0.3"/>
  <pageSetup scale="50" fitToHeight="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28"/>
  <sheetViews>
    <sheetView workbookViewId="0">
      <selection activeCell="F2" sqref="F2"/>
    </sheetView>
  </sheetViews>
  <sheetFormatPr defaultRowHeight="15" x14ac:dyDescent="0.25"/>
  <cols>
    <col min="2" max="2" width="9.7109375" customWidth="1"/>
    <col min="4" max="4" width="4.140625" customWidth="1"/>
    <col min="5" max="5" width="10" bestFit="1" customWidth="1"/>
    <col min="6" max="6" width="38.5703125" customWidth="1"/>
    <col min="9" max="9" width="10.85546875" bestFit="1" customWidth="1"/>
    <col min="13" max="14" width="12.28515625" customWidth="1"/>
    <col min="15" max="15" width="13.5703125" customWidth="1"/>
  </cols>
  <sheetData>
    <row r="1" spans="1:15" x14ac:dyDescent="0.25">
      <c r="B1" t="s">
        <v>174</v>
      </c>
    </row>
    <row r="2" spans="1:15" x14ac:dyDescent="0.25">
      <c r="B2" t="s">
        <v>175</v>
      </c>
      <c r="E2" s="12">
        <v>929929743</v>
      </c>
      <c r="F2" s="11"/>
    </row>
    <row r="3" spans="1:15" x14ac:dyDescent="0.25">
      <c r="B3" t="s">
        <v>176</v>
      </c>
      <c r="D3" t="s">
        <v>80</v>
      </c>
      <c r="E3" t="s">
        <v>200</v>
      </c>
      <c r="F3" t="s">
        <v>80</v>
      </c>
      <c r="G3" t="s">
        <v>201</v>
      </c>
    </row>
    <row r="4" spans="1:15" x14ac:dyDescent="0.25">
      <c r="B4" t="s">
        <v>177</v>
      </c>
      <c r="E4" t="s">
        <v>0</v>
      </c>
    </row>
    <row r="5" spans="1:15" x14ac:dyDescent="0.25">
      <c r="B5" t="s">
        <v>178</v>
      </c>
      <c r="C5" s="113">
        <f>+Award!R6</f>
        <v>0</v>
      </c>
      <c r="E5" t="s">
        <v>179</v>
      </c>
      <c r="F5" s="113">
        <f>+Award!S6</f>
        <v>0</v>
      </c>
      <c r="G5" s="383" t="s">
        <v>180</v>
      </c>
      <c r="H5" s="383"/>
      <c r="I5">
        <v>3</v>
      </c>
    </row>
    <row r="7" spans="1:15" x14ac:dyDescent="0.25">
      <c r="B7" s="7" t="s">
        <v>181</v>
      </c>
    </row>
    <row r="8" spans="1:15" x14ac:dyDescent="0.25">
      <c r="J8" t="s">
        <v>80</v>
      </c>
    </row>
    <row r="9" spans="1:15" s="3" customFormat="1" ht="75" x14ac:dyDescent="0.25">
      <c r="B9" s="3" t="s">
        <v>182</v>
      </c>
      <c r="C9" s="3" t="s">
        <v>183</v>
      </c>
      <c r="D9" s="3" t="s">
        <v>184</v>
      </c>
      <c r="E9" s="3" t="s">
        <v>185</v>
      </c>
      <c r="G9" s="3" t="s">
        <v>186</v>
      </c>
      <c r="H9" s="3" t="s">
        <v>6</v>
      </c>
      <c r="I9" s="3" t="s">
        <v>187</v>
      </c>
      <c r="J9" s="3" t="s">
        <v>193</v>
      </c>
      <c r="K9" s="3" t="s">
        <v>192</v>
      </c>
      <c r="L9" s="3" t="s">
        <v>188</v>
      </c>
      <c r="M9" s="3" t="s">
        <v>189</v>
      </c>
      <c r="N9" s="3" t="s">
        <v>190</v>
      </c>
      <c r="O9" s="3" t="s">
        <v>191</v>
      </c>
    </row>
    <row r="10" spans="1:15" x14ac:dyDescent="0.25">
      <c r="A10">
        <v>1</v>
      </c>
      <c r="B10" s="12"/>
      <c r="C10" s="12">
        <f>+Award!C9</f>
        <v>0</v>
      </c>
      <c r="D10" s="12" t="s">
        <v>80</v>
      </c>
      <c r="E10" s="12">
        <f>+Award!D9</f>
        <v>0</v>
      </c>
      <c r="F10" s="12"/>
      <c r="G10" s="12"/>
      <c r="H10" s="12">
        <f>+Award!F9</f>
        <v>0</v>
      </c>
      <c r="I10" s="112">
        <f>+Award!AS9</f>
        <v>0</v>
      </c>
      <c r="J10" s="12" t="str">
        <f>+IF(Award!J9=12,Award!AD9," ")</f>
        <v xml:space="preserve"> </v>
      </c>
      <c r="K10" s="111">
        <f>+IF(Award!J9&lt;12,Award!AD9," ")</f>
        <v>0</v>
      </c>
      <c r="L10" s="111">
        <f>+IF(Award!J9&lt;12,Award!S9," ")</f>
        <v>0</v>
      </c>
      <c r="M10" s="112">
        <f>+Award!T9</f>
        <v>0</v>
      </c>
      <c r="N10" s="112">
        <f>+Award!AJ9</f>
        <v>0</v>
      </c>
      <c r="O10" s="112">
        <f>SUM(M10:N10)</f>
        <v>0</v>
      </c>
    </row>
    <row r="11" spans="1:15" x14ac:dyDescent="0.25">
      <c r="A11">
        <v>2</v>
      </c>
      <c r="B11" s="12"/>
      <c r="C11" s="12">
        <f>+Award!C10</f>
        <v>0</v>
      </c>
      <c r="D11" s="12" t="s">
        <v>80</v>
      </c>
      <c r="E11" s="12">
        <f>+Award!D10</f>
        <v>0</v>
      </c>
      <c r="F11" s="12"/>
      <c r="G11" s="12"/>
      <c r="H11" s="12">
        <f>+Award!F10</f>
        <v>0</v>
      </c>
      <c r="I11" s="112">
        <f>+Award!AS10</f>
        <v>0</v>
      </c>
      <c r="J11" s="12" t="str">
        <f>+IF(Award!J10=12,Award!AD10," ")</f>
        <v xml:space="preserve"> </v>
      </c>
      <c r="K11" s="111">
        <f>+IF(Award!J10&lt;12,Award!AD10," ")</f>
        <v>0</v>
      </c>
      <c r="L11" s="111">
        <f>+IF(Award!J10&lt;12,Award!S10," ")</f>
        <v>0</v>
      </c>
      <c r="M11" s="112">
        <f>+Award!T10</f>
        <v>0</v>
      </c>
      <c r="N11" s="112">
        <f>+Award!AJ10</f>
        <v>0</v>
      </c>
      <c r="O11" s="112">
        <f t="shared" ref="O11:O25" si="0">SUM(M11:N11)</f>
        <v>0</v>
      </c>
    </row>
    <row r="12" spans="1:15" x14ac:dyDescent="0.25">
      <c r="A12">
        <v>3</v>
      </c>
      <c r="B12" s="12"/>
      <c r="C12" s="12">
        <f>+Award!C11</f>
        <v>0</v>
      </c>
      <c r="D12" s="12" t="s">
        <v>80</v>
      </c>
      <c r="E12" s="12">
        <f>+Award!D11</f>
        <v>0</v>
      </c>
      <c r="F12" s="12"/>
      <c r="G12" s="12"/>
      <c r="H12" s="12">
        <f>+Award!F11</f>
        <v>0</v>
      </c>
      <c r="I12" s="112">
        <f>+Award!AS11</f>
        <v>0</v>
      </c>
      <c r="J12" s="12" t="str">
        <f>+IF(Award!J11=12,Award!AD11," ")</f>
        <v xml:space="preserve"> </v>
      </c>
      <c r="K12" s="111">
        <f>+IF(Award!J11&lt;12,Award!AD11," ")</f>
        <v>0</v>
      </c>
      <c r="L12" s="111">
        <f>+IF(Award!J11&lt;12,Award!S11," ")</f>
        <v>0</v>
      </c>
      <c r="M12" s="112">
        <f>+Award!T11</f>
        <v>0</v>
      </c>
      <c r="N12" s="112">
        <f>+Award!AJ11</f>
        <v>0</v>
      </c>
      <c r="O12" s="112">
        <f t="shared" si="0"/>
        <v>0</v>
      </c>
    </row>
    <row r="13" spans="1:15" x14ac:dyDescent="0.25">
      <c r="A13">
        <v>4</v>
      </c>
      <c r="B13" s="12"/>
      <c r="C13" s="12">
        <f>+Award!C12</f>
        <v>0</v>
      </c>
      <c r="D13" s="12" t="s">
        <v>80</v>
      </c>
      <c r="E13" s="12">
        <f>+Award!D12</f>
        <v>0</v>
      </c>
      <c r="F13" s="12"/>
      <c r="G13" s="12"/>
      <c r="H13" s="12">
        <f>+Award!F12</f>
        <v>0</v>
      </c>
      <c r="I13" s="112">
        <f>+Award!AS12</f>
        <v>0</v>
      </c>
      <c r="J13" s="12" t="str">
        <f>+IF(Award!J12=12,Award!AD12," ")</f>
        <v xml:space="preserve"> </v>
      </c>
      <c r="K13" s="111">
        <f>+IF(Award!J12&lt;12,Award!AD12," ")</f>
        <v>0</v>
      </c>
      <c r="L13" s="111">
        <f>+IF(Award!J12&lt;12,Award!S12," ")</f>
        <v>0</v>
      </c>
      <c r="M13" s="112">
        <f>+Award!T12</f>
        <v>0</v>
      </c>
      <c r="N13" s="112">
        <f>+Award!AJ12</f>
        <v>0</v>
      </c>
      <c r="O13" s="112">
        <f t="shared" si="0"/>
        <v>0</v>
      </c>
    </row>
    <row r="14" spans="1:15" x14ac:dyDescent="0.25">
      <c r="A14">
        <v>5</v>
      </c>
      <c r="B14" s="12"/>
      <c r="C14" s="12">
        <f>+Award!C13</f>
        <v>0</v>
      </c>
      <c r="D14" s="12" t="s">
        <v>80</v>
      </c>
      <c r="E14" s="12">
        <f>+Award!D13</f>
        <v>0</v>
      </c>
      <c r="F14" s="12"/>
      <c r="G14" s="12"/>
      <c r="H14" s="12">
        <f>+Award!F13</f>
        <v>0</v>
      </c>
      <c r="I14" s="112">
        <f>+Award!AS13</f>
        <v>0</v>
      </c>
      <c r="J14" s="12" t="str">
        <f>+IF(Award!J13=12,Award!AD13," ")</f>
        <v xml:space="preserve"> </v>
      </c>
      <c r="K14" s="111">
        <f>+IF(Award!J13&lt;12,Award!AD13," ")</f>
        <v>0</v>
      </c>
      <c r="L14" s="111">
        <f>+IF(Award!J13&lt;12,Award!S13," ")</f>
        <v>0</v>
      </c>
      <c r="M14" s="112">
        <f>+Award!T13</f>
        <v>0</v>
      </c>
      <c r="N14" s="112">
        <f>+Award!AJ13</f>
        <v>0</v>
      </c>
      <c r="O14" s="112">
        <f t="shared" si="0"/>
        <v>0</v>
      </c>
    </row>
    <row r="15" spans="1:15" x14ac:dyDescent="0.25">
      <c r="A15">
        <v>6</v>
      </c>
      <c r="B15" s="12"/>
      <c r="C15" s="12">
        <f>+Award!C14</f>
        <v>0</v>
      </c>
      <c r="D15" s="12" t="s">
        <v>80</v>
      </c>
      <c r="E15" s="12">
        <f>+Award!D14</f>
        <v>0</v>
      </c>
      <c r="F15" s="12"/>
      <c r="G15" s="12"/>
      <c r="H15" s="12">
        <f>+Award!F14</f>
        <v>0</v>
      </c>
      <c r="I15" s="112">
        <f>+Award!AS14</f>
        <v>0</v>
      </c>
      <c r="J15" s="12">
        <f>+IF(Award!J14=12,Award!AD14," ")</f>
        <v>0</v>
      </c>
      <c r="K15" s="111" t="str">
        <f>+IF(Award!J14&lt;12,Award!AD14," ")</f>
        <v xml:space="preserve"> </v>
      </c>
      <c r="L15" s="111" t="str">
        <f>+IF(Award!J14&lt;12,Award!S14," ")</f>
        <v xml:space="preserve"> </v>
      </c>
      <c r="M15" s="112">
        <f>+Award!T14</f>
        <v>0</v>
      </c>
      <c r="N15" s="112">
        <f>+Award!AJ14</f>
        <v>0</v>
      </c>
      <c r="O15" s="112">
        <f t="shared" si="0"/>
        <v>0</v>
      </c>
    </row>
    <row r="16" spans="1:15" x14ac:dyDescent="0.25">
      <c r="A16">
        <v>7</v>
      </c>
      <c r="B16" s="12"/>
      <c r="C16" s="12">
        <f>+Award!C15</f>
        <v>0</v>
      </c>
      <c r="D16" s="12" t="s">
        <v>80</v>
      </c>
      <c r="E16" s="12">
        <f>+Award!D15</f>
        <v>0</v>
      </c>
      <c r="F16" s="12"/>
      <c r="G16" s="12"/>
      <c r="H16" s="12">
        <f>+Award!F15</f>
        <v>0</v>
      </c>
      <c r="I16" s="112">
        <f>+Award!AS15</f>
        <v>0</v>
      </c>
      <c r="J16" s="12" t="str">
        <f>+IF(Award!J15=12,Award!AD15," ")</f>
        <v xml:space="preserve"> </v>
      </c>
      <c r="K16" s="111">
        <f>+IF(Award!J15&lt;12,Award!AD15," ")</f>
        <v>0</v>
      </c>
      <c r="L16" s="111">
        <f>+IF(Award!J15&lt;12,Award!S15," ")</f>
        <v>0</v>
      </c>
      <c r="M16" s="112">
        <f>+Award!T15</f>
        <v>0</v>
      </c>
      <c r="N16" s="112">
        <f>+Award!AJ15</f>
        <v>0</v>
      </c>
      <c r="O16" s="112">
        <f t="shared" si="0"/>
        <v>0</v>
      </c>
    </row>
    <row r="17" spans="1:17" x14ac:dyDescent="0.25">
      <c r="A17">
        <v>8</v>
      </c>
      <c r="B17" s="12"/>
      <c r="C17" s="12">
        <f>+Award!C16</f>
        <v>0</v>
      </c>
      <c r="D17" s="12" t="s">
        <v>80</v>
      </c>
      <c r="E17" s="12">
        <f>+Award!D16</f>
        <v>0</v>
      </c>
      <c r="F17" s="12"/>
      <c r="G17" s="12"/>
      <c r="H17" s="12">
        <f>+Award!F16</f>
        <v>0</v>
      </c>
      <c r="I17" s="112">
        <f>+Award!AS16</f>
        <v>0</v>
      </c>
      <c r="J17" s="12" t="str">
        <f>+IF(Award!J16=12,Award!AD16," ")</f>
        <v xml:space="preserve"> </v>
      </c>
      <c r="K17" s="111">
        <f>+IF(Award!J16&lt;12,Award!AD16," ")</f>
        <v>0</v>
      </c>
      <c r="L17" s="111">
        <f>+IF(Award!J16&lt;12,Award!S16," ")</f>
        <v>0</v>
      </c>
      <c r="M17" s="112">
        <f>+Award!T16</f>
        <v>0</v>
      </c>
      <c r="N17" s="112">
        <f>+Award!AJ16</f>
        <v>0</v>
      </c>
      <c r="O17" s="112">
        <f t="shared" si="0"/>
        <v>0</v>
      </c>
    </row>
    <row r="18" spans="1:17" x14ac:dyDescent="0.25">
      <c r="A18">
        <v>9</v>
      </c>
      <c r="B18" s="162"/>
      <c r="C18" s="162">
        <f>+Award!C17</f>
        <v>0</v>
      </c>
      <c r="D18" s="162" t="s">
        <v>80</v>
      </c>
      <c r="E18" s="162">
        <f>+Award!D17</f>
        <v>0</v>
      </c>
      <c r="F18" s="162"/>
      <c r="G18" s="162"/>
      <c r="H18" s="162">
        <f>+Award!F17</f>
        <v>0</v>
      </c>
      <c r="I18" s="163">
        <f>+Award!AS17</f>
        <v>0</v>
      </c>
      <c r="J18" s="12" t="str">
        <f>+IF(Award!J17=12,Award!AD17," ")</f>
        <v xml:space="preserve"> </v>
      </c>
      <c r="K18" s="111">
        <f>+IF(Award!J17&lt;12,Award!AD17," ")</f>
        <v>0</v>
      </c>
      <c r="L18" s="111">
        <f>+IF(Award!J17&lt;12,Award!S17," ")</f>
        <v>0</v>
      </c>
      <c r="M18" s="163">
        <f>+Award!T17</f>
        <v>0</v>
      </c>
      <c r="N18" s="163">
        <f>+Award!AJ17</f>
        <v>0</v>
      </c>
      <c r="O18" s="163">
        <f t="shared" si="0"/>
        <v>0</v>
      </c>
    </row>
    <row r="19" spans="1:17" x14ac:dyDescent="0.25">
      <c r="A19">
        <v>10</v>
      </c>
      <c r="B19" s="162"/>
      <c r="C19" s="162">
        <f>+Award!C18</f>
        <v>0</v>
      </c>
      <c r="D19" s="162" t="s">
        <v>80</v>
      </c>
      <c r="E19" s="162">
        <f>+Award!D18</f>
        <v>0</v>
      </c>
      <c r="F19" s="162"/>
      <c r="G19" s="162"/>
      <c r="H19" s="162">
        <f>+Award!F18</f>
        <v>0</v>
      </c>
      <c r="I19" s="163">
        <f>+Award!AS18</f>
        <v>0</v>
      </c>
      <c r="J19" s="12">
        <f>+IF(Award!J18=12,Award!AD18," ")</f>
        <v>0</v>
      </c>
      <c r="K19" s="111" t="str">
        <f>+IF(Award!J18&lt;12,Award!AD18," ")</f>
        <v xml:space="preserve"> </v>
      </c>
      <c r="L19" s="111" t="str">
        <f>+IF(Award!J18&lt;12,Award!S18," ")</f>
        <v xml:space="preserve"> </v>
      </c>
      <c r="M19" s="163">
        <f>+Award!T18</f>
        <v>0</v>
      </c>
      <c r="N19" s="163">
        <f>+Award!AJ18</f>
        <v>0</v>
      </c>
      <c r="O19" s="163">
        <f t="shared" si="0"/>
        <v>0</v>
      </c>
    </row>
    <row r="20" spans="1:17" x14ac:dyDescent="0.25">
      <c r="A20">
        <v>11</v>
      </c>
      <c r="B20" s="162"/>
      <c r="C20" s="162">
        <f>+Award!C19</f>
        <v>0</v>
      </c>
      <c r="D20" s="162" t="s">
        <v>80</v>
      </c>
      <c r="E20" s="162">
        <f>+Award!D19</f>
        <v>0</v>
      </c>
      <c r="F20" s="162"/>
      <c r="G20" s="162"/>
      <c r="H20" s="162">
        <f>+Award!F19</f>
        <v>0</v>
      </c>
      <c r="I20" s="163">
        <f>+Award!AS19</f>
        <v>0</v>
      </c>
      <c r="J20" s="12" t="str">
        <f>+IF(Award!J19=12,Award!AD19," ")</f>
        <v xml:space="preserve"> </v>
      </c>
      <c r="K20" s="111">
        <f>+IF(Award!J19&lt;12,Award!AD19," ")</f>
        <v>0</v>
      </c>
      <c r="L20" s="111">
        <f>+IF(Award!J19&lt;12,Award!S19," ")</f>
        <v>0</v>
      </c>
      <c r="M20" s="163">
        <f>+Award!T19</f>
        <v>0</v>
      </c>
      <c r="N20" s="163">
        <f>+Award!AJ19</f>
        <v>0</v>
      </c>
      <c r="O20" s="163">
        <f t="shared" si="0"/>
        <v>0</v>
      </c>
    </row>
    <row r="21" spans="1:17" x14ac:dyDescent="0.25">
      <c r="A21">
        <v>12</v>
      </c>
      <c r="B21" s="162"/>
      <c r="C21" s="162">
        <f>+Award!C20</f>
        <v>0</v>
      </c>
      <c r="D21" s="162" t="s">
        <v>80</v>
      </c>
      <c r="E21" s="162">
        <f>+Award!D20</f>
        <v>0</v>
      </c>
      <c r="F21" s="162"/>
      <c r="G21" s="162"/>
      <c r="H21" s="162">
        <f>+Award!F20</f>
        <v>0</v>
      </c>
      <c r="I21" s="163">
        <f>+Award!AS20</f>
        <v>0</v>
      </c>
      <c r="J21" s="12" t="str">
        <f>+IF(Award!J20=12,Award!AD20," ")</f>
        <v xml:space="preserve"> </v>
      </c>
      <c r="K21" s="111">
        <f>+IF(Award!J20&lt;12,Award!AD20," ")</f>
        <v>0</v>
      </c>
      <c r="L21" s="111">
        <f>+IF(Award!J20&lt;12,Award!S20," ")</f>
        <v>0</v>
      </c>
      <c r="M21" s="163">
        <f>+Award!T20</f>
        <v>0</v>
      </c>
      <c r="N21" s="163">
        <f>+Award!AJ20</f>
        <v>0</v>
      </c>
      <c r="O21" s="163">
        <f t="shared" si="0"/>
        <v>0</v>
      </c>
    </row>
    <row r="22" spans="1:17" x14ac:dyDescent="0.25">
      <c r="A22">
        <v>13</v>
      </c>
      <c r="B22" s="162"/>
      <c r="C22" s="162">
        <f>+Award!C21</f>
        <v>0</v>
      </c>
      <c r="D22" s="162" t="s">
        <v>80</v>
      </c>
      <c r="E22" s="162">
        <f>+Award!D21</f>
        <v>0</v>
      </c>
      <c r="F22" s="162"/>
      <c r="G22" s="162"/>
      <c r="H22" s="162">
        <f>+Award!F21</f>
        <v>0</v>
      </c>
      <c r="I22" s="163">
        <f>+Award!AS21</f>
        <v>0</v>
      </c>
      <c r="J22" s="12">
        <f>+IF(Award!J21=12,Award!AD21," ")</f>
        <v>0</v>
      </c>
      <c r="K22" s="111" t="str">
        <f>+IF(Award!J21&lt;12,Award!AD21," ")</f>
        <v xml:space="preserve"> </v>
      </c>
      <c r="L22" s="111" t="str">
        <f>+IF(Award!J21&lt;12,Award!S21," ")</f>
        <v xml:space="preserve"> </v>
      </c>
      <c r="M22" s="163">
        <f>+Award!T21</f>
        <v>0</v>
      </c>
      <c r="N22" s="163">
        <f>+Award!AJ21</f>
        <v>0</v>
      </c>
      <c r="O22" s="163">
        <f t="shared" si="0"/>
        <v>0</v>
      </c>
    </row>
    <row r="23" spans="1:17" x14ac:dyDescent="0.25">
      <c r="A23">
        <v>14</v>
      </c>
      <c r="B23" s="162"/>
      <c r="C23" s="162">
        <f>+Award!C22</f>
        <v>0</v>
      </c>
      <c r="D23" s="162" t="s">
        <v>80</v>
      </c>
      <c r="E23" s="162">
        <f>+Award!D22</f>
        <v>0</v>
      </c>
      <c r="F23" s="162"/>
      <c r="G23" s="162"/>
      <c r="H23" s="162">
        <f>+Award!F22</f>
        <v>0</v>
      </c>
      <c r="I23" s="163">
        <f>+Award!AS22</f>
        <v>0</v>
      </c>
      <c r="J23" s="12" t="str">
        <f>+IF(Award!J22=12,Award!AD22," ")</f>
        <v xml:space="preserve"> </v>
      </c>
      <c r="K23" s="111">
        <f>+IF(Award!J22&lt;12,Award!AD22," ")</f>
        <v>0</v>
      </c>
      <c r="L23" s="111">
        <f>+IF(Award!J22&lt;12,Award!S22," ")</f>
        <v>0</v>
      </c>
      <c r="M23" s="163">
        <f>+Award!T22</f>
        <v>0</v>
      </c>
      <c r="N23" s="163">
        <f>+Award!AJ22</f>
        <v>0</v>
      </c>
      <c r="O23" s="163">
        <f t="shared" si="0"/>
        <v>0</v>
      </c>
    </row>
    <row r="24" spans="1:17" x14ac:dyDescent="0.25">
      <c r="A24">
        <v>15</v>
      </c>
      <c r="B24" s="162"/>
      <c r="C24" s="162">
        <f>+Award!C23</f>
        <v>0</v>
      </c>
      <c r="D24" s="162" t="s">
        <v>80</v>
      </c>
      <c r="E24" s="162">
        <f>+Award!D23</f>
        <v>0</v>
      </c>
      <c r="F24" s="162"/>
      <c r="G24" s="162"/>
      <c r="H24" s="162">
        <f>+Award!F23</f>
        <v>0</v>
      </c>
      <c r="I24" s="163">
        <f>+Award!AS23</f>
        <v>0</v>
      </c>
      <c r="J24" s="12" t="str">
        <f>+IF(Award!J23=12,Award!AD23," ")</f>
        <v xml:space="preserve"> </v>
      </c>
      <c r="K24" s="111">
        <f>+IF(Award!J23&lt;12,Award!AD23," ")</f>
        <v>0</v>
      </c>
      <c r="L24" s="111">
        <f>+IF(Award!J23&lt;12,Award!S23," ")</f>
        <v>0</v>
      </c>
      <c r="M24" s="163">
        <f>+Award!T23</f>
        <v>0</v>
      </c>
      <c r="N24" s="163">
        <f>+Award!AJ23</f>
        <v>0</v>
      </c>
      <c r="O24" s="163">
        <f t="shared" si="0"/>
        <v>0</v>
      </c>
    </row>
    <row r="25" spans="1:17" x14ac:dyDescent="0.25">
      <c r="A25">
        <v>16</v>
      </c>
      <c r="B25" s="162"/>
      <c r="C25" s="162">
        <f>+Award!C24</f>
        <v>0</v>
      </c>
      <c r="D25" s="162" t="s">
        <v>80</v>
      </c>
      <c r="E25" s="162">
        <f>+Award!D24</f>
        <v>0</v>
      </c>
      <c r="F25" s="162"/>
      <c r="G25" s="162"/>
      <c r="H25" s="162">
        <f>+Award!F24</f>
        <v>0</v>
      </c>
      <c r="I25" s="163">
        <f>+Award!AS24</f>
        <v>0</v>
      </c>
      <c r="J25" s="12" t="str">
        <f>+IF(Award!J24=12,Award!AD24," ")</f>
        <v xml:space="preserve"> </v>
      </c>
      <c r="K25" s="111">
        <f>+IF(Award!J24&lt;12,Award!AD24," ")</f>
        <v>0</v>
      </c>
      <c r="L25" s="111">
        <f>+IF(Award!J24&lt;12,Award!S24," ")</f>
        <v>0</v>
      </c>
      <c r="M25" s="163">
        <f>+Award!T24</f>
        <v>0</v>
      </c>
      <c r="N25" s="163">
        <f>+Award!AJ24</f>
        <v>0</v>
      </c>
      <c r="O25" s="163">
        <f t="shared" si="0"/>
        <v>0</v>
      </c>
    </row>
    <row r="26" spans="1:17" x14ac:dyDescent="0.25">
      <c r="B26" t="s">
        <v>199</v>
      </c>
      <c r="M26" s="50"/>
      <c r="N26" s="50"/>
      <c r="O26" s="112" t="s">
        <v>80</v>
      </c>
    </row>
    <row r="27" spans="1:17" x14ac:dyDescent="0.25">
      <c r="M27" s="50"/>
      <c r="N27" s="50"/>
      <c r="O27" s="112">
        <f>IF(Award!S4&gt;2,SUM(O10:O26),0)</f>
        <v>0</v>
      </c>
      <c r="Q27" t="str">
        <f>+IF(O27=Award!T25+Award!T39," ", "Does not equal budget")</f>
        <v xml:space="preserve"> </v>
      </c>
    </row>
    <row r="29" spans="1:17" x14ac:dyDescent="0.25">
      <c r="B29" t="s">
        <v>202</v>
      </c>
    </row>
    <row r="32" spans="1:17" x14ac:dyDescent="0.25">
      <c r="B32" s="7" t="s">
        <v>203</v>
      </c>
    </row>
    <row r="33" spans="2:17" s="110" customFormat="1" ht="60" x14ac:dyDescent="0.25">
      <c r="B33" s="110" t="s">
        <v>204</v>
      </c>
      <c r="F33" s="3" t="s">
        <v>6</v>
      </c>
      <c r="J33" s="3" t="s">
        <v>193</v>
      </c>
      <c r="K33" s="3" t="s">
        <v>192</v>
      </c>
      <c r="L33" s="3" t="s">
        <v>188</v>
      </c>
      <c r="M33" s="3" t="s">
        <v>189</v>
      </c>
      <c r="N33" s="3" t="s">
        <v>190</v>
      </c>
      <c r="O33" s="3" t="s">
        <v>191</v>
      </c>
    </row>
    <row r="34" spans="2:17" x14ac:dyDescent="0.25">
      <c r="B34" s="12">
        <f>+Award!C28</f>
        <v>0</v>
      </c>
      <c r="F34" t="s">
        <v>205</v>
      </c>
      <c r="J34" s="116">
        <f>+Award!AD28</f>
        <v>0</v>
      </c>
      <c r="K34" s="12"/>
      <c r="L34" s="12"/>
      <c r="M34" s="112">
        <f>+Award!T28</f>
        <v>0</v>
      </c>
      <c r="N34" s="112">
        <f>+Award!AJ28</f>
        <v>0</v>
      </c>
      <c r="O34" s="112">
        <f>+M34+N34</f>
        <v>0</v>
      </c>
    </row>
    <row r="35" spans="2:17" x14ac:dyDescent="0.25">
      <c r="B35" s="12">
        <f>+Award!C30+Award!C31</f>
        <v>0</v>
      </c>
      <c r="F35" t="s">
        <v>39</v>
      </c>
      <c r="J35" s="116">
        <f>+Award!AD30+Award!AD31</f>
        <v>0</v>
      </c>
      <c r="K35" s="12"/>
      <c r="L35" s="12"/>
      <c r="M35" s="112">
        <f>+Award!T30+Award!T31</f>
        <v>0</v>
      </c>
      <c r="N35" s="112">
        <f>+Award!AJ30+Award!AJ31</f>
        <v>0</v>
      </c>
      <c r="O35" s="112">
        <f>+M35+N35</f>
        <v>0</v>
      </c>
    </row>
    <row r="36" spans="2:17" x14ac:dyDescent="0.25">
      <c r="B36" s="12">
        <f>+Award!C32</f>
        <v>0</v>
      </c>
      <c r="F36" t="s">
        <v>206</v>
      </c>
      <c r="J36" s="116">
        <f>+Award!AD32</f>
        <v>0</v>
      </c>
      <c r="K36" s="12"/>
      <c r="L36" s="12"/>
      <c r="M36" s="112">
        <f>+Award!T32</f>
        <v>0</v>
      </c>
      <c r="N36" s="112">
        <f>+Award!AJ32</f>
        <v>0</v>
      </c>
      <c r="O36" s="112">
        <f>+M36+N36</f>
        <v>0</v>
      </c>
    </row>
    <row r="37" spans="2:17" x14ac:dyDescent="0.25">
      <c r="B37" s="12"/>
      <c r="F37" t="s">
        <v>207</v>
      </c>
      <c r="J37" s="12"/>
      <c r="K37" s="12"/>
      <c r="L37" s="12"/>
      <c r="M37" s="112"/>
      <c r="N37" s="112"/>
      <c r="O37" s="112"/>
    </row>
    <row r="38" spans="2:17" x14ac:dyDescent="0.25">
      <c r="B38" s="12">
        <f>+Award!C29</f>
        <v>0</v>
      </c>
      <c r="F38" s="12"/>
      <c r="J38" s="116">
        <f>+Award!AD29</f>
        <v>0</v>
      </c>
      <c r="K38" s="12"/>
      <c r="L38" s="12"/>
      <c r="M38" s="112">
        <f>+Award!T29</f>
        <v>0</v>
      </c>
      <c r="N38" s="112">
        <f>+Award!AJ29</f>
        <v>0</v>
      </c>
      <c r="O38" s="112">
        <f t="shared" ref="O38:O43" si="1">+M38+N38</f>
        <v>0</v>
      </c>
    </row>
    <row r="39" spans="2:17" x14ac:dyDescent="0.25">
      <c r="B39" s="12">
        <f>+Award!C33</f>
        <v>0</v>
      </c>
      <c r="F39" s="12"/>
      <c r="J39" s="116">
        <f>+Award!AD33</f>
        <v>0</v>
      </c>
      <c r="K39" s="12"/>
      <c r="L39" s="12"/>
      <c r="M39" s="112">
        <f>+Award!T33</f>
        <v>0</v>
      </c>
      <c r="N39" s="112">
        <f>+Award!AJ33</f>
        <v>0</v>
      </c>
      <c r="O39" s="112">
        <f t="shared" si="1"/>
        <v>0</v>
      </c>
    </row>
    <row r="40" spans="2:17" x14ac:dyDescent="0.25">
      <c r="B40" s="12"/>
      <c r="F40" s="12"/>
      <c r="J40" s="12"/>
      <c r="K40" s="12"/>
      <c r="L40" s="12"/>
      <c r="M40" s="112"/>
      <c r="N40" s="112"/>
      <c r="O40" s="112">
        <f t="shared" si="1"/>
        <v>0</v>
      </c>
    </row>
    <row r="41" spans="2:17" x14ac:dyDescent="0.25">
      <c r="B41" s="12"/>
      <c r="F41" s="12"/>
      <c r="J41" s="12"/>
      <c r="K41" s="12"/>
      <c r="L41" s="12"/>
      <c r="M41" s="112"/>
      <c r="N41" s="112"/>
      <c r="O41" s="112">
        <f t="shared" si="1"/>
        <v>0</v>
      </c>
    </row>
    <row r="42" spans="2:17" x14ac:dyDescent="0.25">
      <c r="B42" s="12"/>
      <c r="F42" s="12"/>
      <c r="J42" s="12"/>
      <c r="K42" s="12"/>
      <c r="L42" s="12"/>
      <c r="M42" s="112"/>
      <c r="N42" s="112"/>
      <c r="O42" s="112">
        <f t="shared" si="1"/>
        <v>0</v>
      </c>
    </row>
    <row r="43" spans="2:17" x14ac:dyDescent="0.25">
      <c r="B43" s="12"/>
      <c r="F43" s="12"/>
      <c r="J43" s="12"/>
      <c r="K43" s="12"/>
      <c r="L43" s="12"/>
      <c r="M43" s="112"/>
      <c r="N43" s="112"/>
      <c r="O43" s="112">
        <f t="shared" si="1"/>
        <v>0</v>
      </c>
    </row>
    <row r="44" spans="2:17" x14ac:dyDescent="0.25">
      <c r="B44" s="12">
        <f>IF(Award!S4&gt;2,SUM(B34:B43),0)</f>
        <v>0</v>
      </c>
      <c r="F44" t="s">
        <v>208</v>
      </c>
      <c r="M44" s="50"/>
      <c r="N44" s="117" t="s">
        <v>91</v>
      </c>
      <c r="O44" s="112">
        <f>IF(Award!S4&gt;2,SUM(O34:O43),0)</f>
        <v>0</v>
      </c>
      <c r="Q44" t="str">
        <f>+IF(O44=Award!T34+Award!T40," ","Does not equal budget")</f>
        <v xml:space="preserve"> </v>
      </c>
    </row>
    <row r="45" spans="2:17" x14ac:dyDescent="0.25">
      <c r="M45" s="50"/>
      <c r="N45" s="117" t="s">
        <v>209</v>
      </c>
      <c r="O45" s="118">
        <f>+O44+O27</f>
        <v>0</v>
      </c>
      <c r="Q45" t="s">
        <v>80</v>
      </c>
    </row>
    <row r="48" spans="2:17" x14ac:dyDescent="0.25">
      <c r="B48" t="s">
        <v>175</v>
      </c>
      <c r="E48" s="12">
        <v>929929743</v>
      </c>
      <c r="F48" s="11"/>
    </row>
    <row r="49" spans="1:15" x14ac:dyDescent="0.25">
      <c r="B49" t="s">
        <v>176</v>
      </c>
      <c r="D49" t="s">
        <v>80</v>
      </c>
      <c r="E49" t="s">
        <v>200</v>
      </c>
      <c r="F49" t="s">
        <v>80</v>
      </c>
      <c r="G49" t="s">
        <v>201</v>
      </c>
    </row>
    <row r="50" spans="1:15" x14ac:dyDescent="0.25">
      <c r="B50" t="s">
        <v>177</v>
      </c>
      <c r="E50" t="s">
        <v>0</v>
      </c>
    </row>
    <row r="51" spans="1:15" x14ac:dyDescent="0.25">
      <c r="B51" t="s">
        <v>178</v>
      </c>
      <c r="C51" s="113">
        <f>+C5</f>
        <v>0</v>
      </c>
      <c r="E51" t="s">
        <v>179</v>
      </c>
      <c r="F51" s="113">
        <f>+F5</f>
        <v>0</v>
      </c>
      <c r="G51" s="383" t="s">
        <v>180</v>
      </c>
      <c r="H51" s="383"/>
      <c r="I51">
        <f>+I5</f>
        <v>3</v>
      </c>
    </row>
    <row r="53" spans="1:15" x14ac:dyDescent="0.25">
      <c r="B53" s="7" t="s">
        <v>210</v>
      </c>
    </row>
    <row r="54" spans="1:15" x14ac:dyDescent="0.25">
      <c r="B54" s="7" t="s">
        <v>211</v>
      </c>
    </row>
    <row r="55" spans="1:15" x14ac:dyDescent="0.25">
      <c r="E55" t="s">
        <v>212</v>
      </c>
      <c r="G55" s="121" t="s">
        <v>261</v>
      </c>
      <c r="H55" s="121"/>
      <c r="I55" s="121"/>
      <c r="O55" s="114" t="s">
        <v>213</v>
      </c>
    </row>
    <row r="56" spans="1:15" x14ac:dyDescent="0.25">
      <c r="A56">
        <v>1</v>
      </c>
      <c r="B56" s="384"/>
      <c r="C56" s="385"/>
      <c r="D56" s="385"/>
      <c r="E56" s="385"/>
      <c r="F56" s="385"/>
      <c r="G56" s="385"/>
      <c r="H56" s="385"/>
      <c r="I56" s="385"/>
      <c r="J56" s="385"/>
      <c r="K56" s="385"/>
      <c r="L56" s="385"/>
      <c r="M56" s="386"/>
      <c r="O56" s="112"/>
    </row>
    <row r="57" spans="1:15" x14ac:dyDescent="0.25">
      <c r="A57">
        <v>2</v>
      </c>
      <c r="B57" s="384"/>
      <c r="C57" s="385"/>
      <c r="D57" s="385"/>
      <c r="E57" s="385"/>
      <c r="F57" s="385"/>
      <c r="G57" s="385"/>
      <c r="H57" s="385"/>
      <c r="I57" s="385"/>
      <c r="J57" s="385"/>
      <c r="K57" s="385"/>
      <c r="L57" s="385"/>
      <c r="M57" s="386"/>
      <c r="O57" s="112"/>
    </row>
    <row r="58" spans="1:15" x14ac:dyDescent="0.25">
      <c r="A58">
        <v>3</v>
      </c>
      <c r="B58" s="384"/>
      <c r="C58" s="385"/>
      <c r="D58" s="385"/>
      <c r="E58" s="385"/>
      <c r="F58" s="385"/>
      <c r="G58" s="385"/>
      <c r="H58" s="385"/>
      <c r="I58" s="385"/>
      <c r="J58" s="385"/>
      <c r="K58" s="385"/>
      <c r="L58" s="385"/>
      <c r="M58" s="386"/>
      <c r="O58" s="112"/>
    </row>
    <row r="59" spans="1:15" x14ac:dyDescent="0.25">
      <c r="A59">
        <v>4</v>
      </c>
      <c r="B59" s="384"/>
      <c r="C59" s="385"/>
      <c r="D59" s="385"/>
      <c r="E59" s="385"/>
      <c r="F59" s="385"/>
      <c r="G59" s="385"/>
      <c r="H59" s="385"/>
      <c r="I59" s="385"/>
      <c r="J59" s="385"/>
      <c r="K59" s="385"/>
      <c r="L59" s="385"/>
      <c r="M59" s="386"/>
      <c r="O59" s="112"/>
    </row>
    <row r="60" spans="1:15" x14ac:dyDescent="0.25">
      <c r="A60">
        <v>5</v>
      </c>
      <c r="B60" s="384"/>
      <c r="C60" s="385"/>
      <c r="D60" s="385"/>
      <c r="E60" s="385"/>
      <c r="F60" s="385"/>
      <c r="G60" s="385"/>
      <c r="H60" s="385"/>
      <c r="I60" s="385"/>
      <c r="J60" s="385"/>
      <c r="K60" s="385"/>
      <c r="L60" s="385"/>
      <c r="M60" s="386"/>
      <c r="O60" s="112"/>
    </row>
    <row r="61" spans="1:15" x14ac:dyDescent="0.25">
      <c r="A61">
        <v>6</v>
      </c>
      <c r="B61" s="384"/>
      <c r="C61" s="385"/>
      <c r="D61" s="385"/>
      <c r="E61" s="385"/>
      <c r="F61" s="385"/>
      <c r="G61" s="385"/>
      <c r="H61" s="385"/>
      <c r="I61" s="385"/>
      <c r="J61" s="385"/>
      <c r="K61" s="385"/>
      <c r="L61" s="385"/>
      <c r="M61" s="386"/>
      <c r="O61" s="112"/>
    </row>
    <row r="62" spans="1:15" x14ac:dyDescent="0.25">
      <c r="A62">
        <v>7</v>
      </c>
      <c r="B62" s="384"/>
      <c r="C62" s="385"/>
      <c r="D62" s="385"/>
      <c r="E62" s="385"/>
      <c r="F62" s="385"/>
      <c r="G62" s="385"/>
      <c r="H62" s="385"/>
      <c r="I62" s="385"/>
      <c r="J62" s="385"/>
      <c r="K62" s="385"/>
      <c r="L62" s="385"/>
      <c r="M62" s="386"/>
      <c r="O62" s="112"/>
    </row>
    <row r="63" spans="1:15" x14ac:dyDescent="0.25">
      <c r="A63">
        <v>8</v>
      </c>
      <c r="B63" s="384"/>
      <c r="C63" s="385"/>
      <c r="D63" s="385"/>
      <c r="E63" s="385"/>
      <c r="F63" s="385"/>
      <c r="G63" s="385"/>
      <c r="H63" s="385"/>
      <c r="I63" s="385"/>
      <c r="J63" s="385"/>
      <c r="K63" s="385"/>
      <c r="L63" s="385"/>
      <c r="M63" s="386"/>
      <c r="O63" s="112"/>
    </row>
    <row r="64" spans="1:15" x14ac:dyDescent="0.25">
      <c r="A64">
        <v>9</v>
      </c>
      <c r="B64" s="384"/>
      <c r="C64" s="385"/>
      <c r="D64" s="385"/>
      <c r="E64" s="385"/>
      <c r="F64" s="385"/>
      <c r="G64" s="385"/>
      <c r="H64" s="385"/>
      <c r="I64" s="385"/>
      <c r="J64" s="385"/>
      <c r="K64" s="385"/>
      <c r="L64" s="385"/>
      <c r="M64" s="386"/>
      <c r="O64" s="112"/>
    </row>
    <row r="65" spans="1:15" x14ac:dyDescent="0.25">
      <c r="A65">
        <v>10</v>
      </c>
      <c r="B65" s="384"/>
      <c r="C65" s="385"/>
      <c r="D65" s="385"/>
      <c r="E65" s="385"/>
      <c r="F65" s="385"/>
      <c r="G65" s="385"/>
      <c r="H65" s="385"/>
      <c r="I65" s="385"/>
      <c r="J65" s="385"/>
      <c r="K65" s="385"/>
      <c r="L65" s="385"/>
      <c r="M65" s="386"/>
      <c r="O65" s="112"/>
    </row>
    <row r="66" spans="1:15" x14ac:dyDescent="0.25">
      <c r="A66">
        <v>11</v>
      </c>
      <c r="B66" t="s">
        <v>214</v>
      </c>
      <c r="O66" s="112">
        <f>IF(Award!S4&gt;2,SUM(O56:O65),0)</f>
        <v>0</v>
      </c>
    </row>
    <row r="69" spans="1:15" x14ac:dyDescent="0.25">
      <c r="B69" t="s">
        <v>215</v>
      </c>
      <c r="E69" s="387"/>
      <c r="F69" s="388"/>
      <c r="G69" s="388"/>
      <c r="H69" s="388"/>
      <c r="I69" s="388"/>
      <c r="J69" s="388"/>
      <c r="K69" s="388"/>
      <c r="L69" s="389"/>
    </row>
    <row r="72" spans="1:15" x14ac:dyDescent="0.25">
      <c r="B72" s="7" t="s">
        <v>216</v>
      </c>
      <c r="O72" s="114" t="s">
        <v>213</v>
      </c>
    </row>
    <row r="73" spans="1:15" x14ac:dyDescent="0.25">
      <c r="A73">
        <v>1</v>
      </c>
      <c r="B73" t="s">
        <v>217</v>
      </c>
      <c r="O73" s="112">
        <f>+IF(Award!S4&gt;2,Award!T49,0)</f>
        <v>0</v>
      </c>
    </row>
    <row r="74" spans="1:15" x14ac:dyDescent="0.25">
      <c r="A74">
        <v>2</v>
      </c>
      <c r="B74" t="s">
        <v>218</v>
      </c>
      <c r="O74" s="112">
        <f>+IF(Award!S4&gt;2,Award!T50,0)</f>
        <v>0</v>
      </c>
    </row>
    <row r="75" spans="1:15" x14ac:dyDescent="0.25">
      <c r="N75" s="30" t="s">
        <v>219</v>
      </c>
      <c r="O75" s="112">
        <f>SUM(O73:O74)</f>
        <v>0</v>
      </c>
    </row>
    <row r="76" spans="1:15" x14ac:dyDescent="0.25">
      <c r="O76" s="119"/>
    </row>
    <row r="77" spans="1:15" x14ac:dyDescent="0.25">
      <c r="B77" s="7" t="s">
        <v>220</v>
      </c>
      <c r="O77" s="120" t="s">
        <v>213</v>
      </c>
    </row>
    <row r="78" spans="1:15" x14ac:dyDescent="0.25">
      <c r="A78">
        <v>1</v>
      </c>
      <c r="B78" t="s">
        <v>221</v>
      </c>
      <c r="O78" s="112">
        <v>0</v>
      </c>
    </row>
    <row r="79" spans="1:15" x14ac:dyDescent="0.25">
      <c r="A79">
        <v>2</v>
      </c>
      <c r="B79" t="s">
        <v>57</v>
      </c>
      <c r="O79" s="112">
        <f>+IF(Award!S4&gt;2,Award!T54,0)</f>
        <v>0</v>
      </c>
    </row>
    <row r="80" spans="1:15" x14ac:dyDescent="0.25">
      <c r="A80">
        <v>3</v>
      </c>
      <c r="B80" t="s">
        <v>52</v>
      </c>
      <c r="O80" s="112">
        <f>+IF(Award!S4&gt;2,Award!T55,0)</f>
        <v>0</v>
      </c>
    </row>
    <row r="81" spans="1:15" x14ac:dyDescent="0.25">
      <c r="A81">
        <v>4</v>
      </c>
      <c r="B81" t="s">
        <v>58</v>
      </c>
      <c r="O81" s="112">
        <f>+IF(Award!S4&gt;2,Award!T56,0)</f>
        <v>0</v>
      </c>
    </row>
    <row r="82" spans="1:15" x14ac:dyDescent="0.25">
      <c r="A82">
        <v>5</v>
      </c>
      <c r="B82" t="s">
        <v>59</v>
      </c>
      <c r="C82" s="387"/>
      <c r="D82" s="388"/>
      <c r="E82" s="388"/>
      <c r="F82" s="388"/>
      <c r="G82" s="388"/>
      <c r="H82" s="388"/>
      <c r="I82" s="388"/>
      <c r="J82" s="388"/>
      <c r="K82" s="388"/>
      <c r="L82" s="389"/>
      <c r="O82" s="112">
        <f>+IF(Award!S4&gt;2,Award!T57,0)</f>
        <v>0</v>
      </c>
    </row>
    <row r="83" spans="1:15" x14ac:dyDescent="0.25">
      <c r="A83" s="12"/>
      <c r="B83" t="s">
        <v>222</v>
      </c>
      <c r="N83" s="114" t="s">
        <v>223</v>
      </c>
      <c r="O83" s="112">
        <f>SUM(O78:O82)</f>
        <v>0</v>
      </c>
    </row>
    <row r="84" spans="1:15" x14ac:dyDescent="0.25">
      <c r="O84" s="119"/>
    </row>
    <row r="85" spans="1:15" x14ac:dyDescent="0.25">
      <c r="O85" s="119"/>
    </row>
    <row r="86" spans="1:15" x14ac:dyDescent="0.25">
      <c r="B86" t="s">
        <v>175</v>
      </c>
      <c r="E86" s="12">
        <v>929929743</v>
      </c>
      <c r="F86" s="11"/>
      <c r="O86" s="119"/>
    </row>
    <row r="87" spans="1:15" x14ac:dyDescent="0.25">
      <c r="B87" t="s">
        <v>176</v>
      </c>
      <c r="D87" t="s">
        <v>80</v>
      </c>
      <c r="E87" t="s">
        <v>200</v>
      </c>
      <c r="F87" t="s">
        <v>80</v>
      </c>
      <c r="G87" t="s">
        <v>201</v>
      </c>
      <c r="O87" s="119"/>
    </row>
    <row r="88" spans="1:15" x14ac:dyDescent="0.25">
      <c r="B88" t="s">
        <v>177</v>
      </c>
      <c r="E88" t="s">
        <v>0</v>
      </c>
      <c r="O88" s="119"/>
    </row>
    <row r="89" spans="1:15" x14ac:dyDescent="0.25">
      <c r="B89" t="s">
        <v>178</v>
      </c>
      <c r="C89" s="113">
        <f>+C51</f>
        <v>0</v>
      </c>
      <c r="E89" t="s">
        <v>179</v>
      </c>
      <c r="F89" s="113">
        <f>+F51</f>
        <v>0</v>
      </c>
      <c r="G89" s="383" t="s">
        <v>180</v>
      </c>
      <c r="H89" s="383"/>
      <c r="I89">
        <f>+I51</f>
        <v>3</v>
      </c>
      <c r="O89" s="119"/>
    </row>
    <row r="90" spans="1:15" x14ac:dyDescent="0.25">
      <c r="O90" s="119"/>
    </row>
    <row r="91" spans="1:15" x14ac:dyDescent="0.25">
      <c r="B91" s="7" t="s">
        <v>224</v>
      </c>
      <c r="O91" s="120" t="s">
        <v>213</v>
      </c>
    </row>
    <row r="92" spans="1:15" x14ac:dyDescent="0.25">
      <c r="A92">
        <v>1</v>
      </c>
      <c r="B92" t="s">
        <v>225</v>
      </c>
      <c r="O92" s="112">
        <f>+IF(Award!S4&gt;2,Award!T61,0)</f>
        <v>0</v>
      </c>
    </row>
    <row r="93" spans="1:15" x14ac:dyDescent="0.25">
      <c r="A93">
        <v>2</v>
      </c>
      <c r="B93" t="s">
        <v>65</v>
      </c>
      <c r="O93" s="112">
        <f>+IF(Award!S4&gt;2,Award!T62,0)</f>
        <v>0</v>
      </c>
    </row>
    <row r="94" spans="1:15" x14ac:dyDescent="0.25">
      <c r="A94">
        <v>3</v>
      </c>
      <c r="B94" t="s">
        <v>226</v>
      </c>
      <c r="O94" s="112">
        <f>+IF(Award!S4&gt;2,Award!T63,0)</f>
        <v>0</v>
      </c>
    </row>
    <row r="95" spans="1:15" x14ac:dyDescent="0.25">
      <c r="A95">
        <v>4</v>
      </c>
      <c r="B95" t="s">
        <v>227</v>
      </c>
      <c r="O95" s="112">
        <f>+IF(Award!S4&gt;2,Award!T64,0)</f>
        <v>0</v>
      </c>
    </row>
    <row r="96" spans="1:15" x14ac:dyDescent="0.25">
      <c r="A96">
        <v>5</v>
      </c>
      <c r="B96" t="s">
        <v>228</v>
      </c>
      <c r="O96" s="112">
        <f>+IF(Award!S4&gt;2,SUM(Award!T66:T85),0)</f>
        <v>0</v>
      </c>
    </row>
    <row r="97" spans="1:17" x14ac:dyDescent="0.25">
      <c r="A97">
        <v>6</v>
      </c>
      <c r="B97" t="s">
        <v>229</v>
      </c>
      <c r="O97" s="112">
        <f>+IF(Award!S4&gt;2,Award!T46,0)</f>
        <v>0</v>
      </c>
    </row>
    <row r="98" spans="1:17" x14ac:dyDescent="0.25">
      <c r="A98">
        <v>7</v>
      </c>
      <c r="B98" t="s">
        <v>230</v>
      </c>
      <c r="O98" s="112">
        <v>0</v>
      </c>
    </row>
    <row r="99" spans="1:17" x14ac:dyDescent="0.25">
      <c r="A99">
        <v>8</v>
      </c>
      <c r="B99" s="387" t="str">
        <f>+Award!C86</f>
        <v>Tuition / Tuition Remission</v>
      </c>
      <c r="C99" s="388"/>
      <c r="D99" s="388"/>
      <c r="E99" s="388"/>
      <c r="F99" s="388"/>
      <c r="G99" s="388"/>
      <c r="H99" s="388"/>
      <c r="I99" s="388"/>
      <c r="J99" s="388"/>
      <c r="K99" s="389"/>
      <c r="O99" s="112">
        <f>+IF(Award!S4&gt;2,Award!T86,0)</f>
        <v>0</v>
      </c>
    </row>
    <row r="100" spans="1:17" x14ac:dyDescent="0.25">
      <c r="A100">
        <v>9</v>
      </c>
      <c r="B100" s="387"/>
      <c r="C100" s="388"/>
      <c r="D100" s="388"/>
      <c r="E100" s="388"/>
      <c r="F100" s="388"/>
      <c r="G100" s="388"/>
      <c r="H100" s="388"/>
      <c r="I100" s="388"/>
      <c r="J100" s="388"/>
      <c r="K100" s="389"/>
      <c r="O100" s="112">
        <f>+IF(Award!S4&gt;2,Award!T87,0)</f>
        <v>0</v>
      </c>
    </row>
    <row r="101" spans="1:17" x14ac:dyDescent="0.25">
      <c r="A101">
        <v>10</v>
      </c>
      <c r="B101" s="387"/>
      <c r="C101" s="388"/>
      <c r="D101" s="388"/>
      <c r="E101" s="388"/>
      <c r="F101" s="388"/>
      <c r="G101" s="388"/>
      <c r="H101" s="388"/>
      <c r="I101" s="388"/>
      <c r="J101" s="388"/>
      <c r="K101" s="389"/>
      <c r="O101" s="112" t="s">
        <v>80</v>
      </c>
    </row>
    <row r="102" spans="1:17" x14ac:dyDescent="0.25">
      <c r="N102" s="114" t="s">
        <v>71</v>
      </c>
      <c r="O102" s="112">
        <f>SUM(O92:O101)</f>
        <v>0</v>
      </c>
    </row>
    <row r="103" spans="1:17" x14ac:dyDescent="0.25">
      <c r="O103" s="119"/>
    </row>
    <row r="104" spans="1:17" x14ac:dyDescent="0.25">
      <c r="O104" s="119"/>
    </row>
    <row r="105" spans="1:17" x14ac:dyDescent="0.25">
      <c r="B105" s="7" t="s">
        <v>231</v>
      </c>
      <c r="O105" s="120" t="s">
        <v>213</v>
      </c>
    </row>
    <row r="106" spans="1:17" x14ac:dyDescent="0.25">
      <c r="N106" s="114" t="s">
        <v>232</v>
      </c>
      <c r="O106" s="112">
        <f>+ROUND(O102+O83+O75+O66+O45,0)</f>
        <v>0</v>
      </c>
      <c r="Q106" t="str">
        <f>+IF(O106=Award!T90,"Equals Budget", "Does not Equal Budget")</f>
        <v>Equals Budget</v>
      </c>
    </row>
    <row r="107" spans="1:17" x14ac:dyDescent="0.25">
      <c r="O107" s="119"/>
    </row>
    <row r="108" spans="1:17" x14ac:dyDescent="0.25">
      <c r="B108" t="s">
        <v>233</v>
      </c>
      <c r="O108" s="119"/>
    </row>
    <row r="109" spans="1:17" s="115" customFormat="1" x14ac:dyDescent="0.25">
      <c r="C109" s="115" t="s">
        <v>235</v>
      </c>
      <c r="I109" s="115" t="s">
        <v>236</v>
      </c>
      <c r="L109" s="115" t="s">
        <v>234</v>
      </c>
      <c r="O109" s="120" t="s">
        <v>213</v>
      </c>
    </row>
    <row r="110" spans="1:17" x14ac:dyDescent="0.25">
      <c r="A110">
        <v>1</v>
      </c>
      <c r="B110" s="387" t="str">
        <f>+IF(Award!$H$93&gt;0,"MTDC",IF(Award!$H$94&gt;0,"TDC", IF(Award!$H$95&gt;0, "TFFA"," ")))</f>
        <v>TFFA</v>
      </c>
      <c r="C110" s="388"/>
      <c r="D110" s="388"/>
      <c r="E110" s="388"/>
      <c r="F110" s="389"/>
      <c r="I110" s="392" t="str">
        <f>+IF(Award!$H$93&gt;0,Award!H93,IF(Award!$H$94&gt;0,Award!H94,IF(Award!$H$95&gt;0,Award!H95,0)))</f>
        <v xml:space="preserve"> </v>
      </c>
      <c r="J110" s="393"/>
      <c r="L110" s="390">
        <f>+IF(Award!$H$93&gt;0,Award!S93,IF(Award!$H$94&gt;0,Award!T94,IF(Award!$H$95&gt;0,Award!T90,0)))</f>
        <v>0</v>
      </c>
      <c r="M110" s="391"/>
      <c r="O110" s="112" t="e">
        <f>+ROUND(L110*I110,0)</f>
        <v>#VALUE!</v>
      </c>
      <c r="Q110" t="s">
        <v>80</v>
      </c>
    </row>
    <row r="111" spans="1:17" x14ac:dyDescent="0.25">
      <c r="A111">
        <v>2</v>
      </c>
      <c r="B111" s="387"/>
      <c r="C111" s="388"/>
      <c r="D111" s="388"/>
      <c r="E111" s="388"/>
      <c r="F111" s="389"/>
      <c r="I111" s="387"/>
      <c r="J111" s="389"/>
      <c r="L111" s="387"/>
      <c r="M111" s="389"/>
      <c r="O111" s="112" t="s">
        <v>80</v>
      </c>
    </row>
    <row r="112" spans="1:17" x14ac:dyDescent="0.25">
      <c r="A112">
        <v>3</v>
      </c>
      <c r="B112" s="387"/>
      <c r="C112" s="388"/>
      <c r="D112" s="388"/>
      <c r="E112" s="388"/>
      <c r="F112" s="389"/>
      <c r="I112" s="387"/>
      <c r="J112" s="389"/>
      <c r="L112" s="387"/>
      <c r="M112" s="389"/>
      <c r="O112" s="112" t="s">
        <v>80</v>
      </c>
    </row>
    <row r="113" spans="1:17" x14ac:dyDescent="0.25">
      <c r="A113">
        <v>4</v>
      </c>
      <c r="B113" s="387"/>
      <c r="C113" s="388"/>
      <c r="D113" s="388"/>
      <c r="E113" s="388"/>
      <c r="F113" s="389"/>
      <c r="I113" s="387"/>
      <c r="J113" s="389"/>
      <c r="L113" s="387"/>
      <c r="M113" s="389"/>
      <c r="O113" s="112" t="s">
        <v>80</v>
      </c>
    </row>
    <row r="114" spans="1:17" x14ac:dyDescent="0.25">
      <c r="N114" s="114" t="s">
        <v>237</v>
      </c>
      <c r="O114" s="112" t="e">
        <f>SUM(O110:O113)</f>
        <v>#VALUE!</v>
      </c>
    </row>
    <row r="117" spans="1:17" x14ac:dyDescent="0.25">
      <c r="B117" t="s">
        <v>239</v>
      </c>
      <c r="F117" s="387" t="s">
        <v>241</v>
      </c>
      <c r="G117" s="388"/>
      <c r="H117" s="388"/>
      <c r="I117" s="388"/>
      <c r="J117" s="388"/>
      <c r="K117" s="388"/>
      <c r="L117" s="388"/>
      <c r="M117" s="388"/>
      <c r="N117" s="388"/>
      <c r="O117" s="389"/>
    </row>
    <row r="118" spans="1:17" x14ac:dyDescent="0.25">
      <c r="B118" t="s">
        <v>240</v>
      </c>
    </row>
    <row r="120" spans="1:17" x14ac:dyDescent="0.25">
      <c r="B120" s="7" t="s">
        <v>238</v>
      </c>
      <c r="O120" s="114" t="s">
        <v>213</v>
      </c>
    </row>
    <row r="121" spans="1:17" x14ac:dyDescent="0.25">
      <c r="E121" t="s">
        <v>242</v>
      </c>
      <c r="O121" s="112" t="e">
        <f>+ROUND(O106+O114,0)</f>
        <v>#VALUE!</v>
      </c>
      <c r="Q121" t="e">
        <f>+IF(O121=Award!T98,"Equals Budget", "Does not Equal Budget")</f>
        <v>#VALUE!</v>
      </c>
    </row>
    <row r="122" spans="1:17" x14ac:dyDescent="0.25">
      <c r="O122" s="50"/>
    </row>
    <row r="123" spans="1:17" x14ac:dyDescent="0.25">
      <c r="O123" s="50"/>
    </row>
    <row r="124" spans="1:17" x14ac:dyDescent="0.25">
      <c r="B124" s="7" t="s">
        <v>243</v>
      </c>
      <c r="O124" s="117" t="s">
        <v>213</v>
      </c>
    </row>
    <row r="125" spans="1:17" x14ac:dyDescent="0.25">
      <c r="O125" s="112">
        <v>0</v>
      </c>
    </row>
    <row r="126" spans="1:17" x14ac:dyDescent="0.25">
      <c r="O126" s="50"/>
    </row>
    <row r="128" spans="1:17" x14ac:dyDescent="0.25">
      <c r="B128" s="7" t="s">
        <v>244</v>
      </c>
      <c r="E128" s="387"/>
      <c r="F128" s="388"/>
      <c r="G128" s="388"/>
      <c r="H128" s="388"/>
      <c r="I128" s="389"/>
    </row>
  </sheetData>
  <sheetProtection algorithmName="SHA-512" hashValue="ax6MZjKPpVbciKllO+sby5szLhRBZrLeHZEE4UFsnXw6tQ14DH4xJCVgP13NCy0XWC79yoi+VZUtb2vW/UTaAg==" saltValue="ia6iDSXcUgYz6R3h/B/2gg==" spinCount="100000" sheet="1" objects="1" scenarios="1"/>
  <mergeCells count="32">
    <mergeCell ref="F117:O117"/>
    <mergeCell ref="E128:I128"/>
    <mergeCell ref="B112:F112"/>
    <mergeCell ref="I112:J112"/>
    <mergeCell ref="L112:M112"/>
    <mergeCell ref="B113:F113"/>
    <mergeCell ref="I113:J113"/>
    <mergeCell ref="L113:M113"/>
    <mergeCell ref="B110:F110"/>
    <mergeCell ref="I110:J110"/>
    <mergeCell ref="L110:M110"/>
    <mergeCell ref="B111:F111"/>
    <mergeCell ref="I111:J111"/>
    <mergeCell ref="L111:M111"/>
    <mergeCell ref="B101:K101"/>
    <mergeCell ref="B60:M60"/>
    <mergeCell ref="B61:M61"/>
    <mergeCell ref="B62:M62"/>
    <mergeCell ref="B63:M63"/>
    <mergeCell ref="B64:M64"/>
    <mergeCell ref="B65:M65"/>
    <mergeCell ref="E69:L69"/>
    <mergeCell ref="C82:L82"/>
    <mergeCell ref="G89:H89"/>
    <mergeCell ref="B99:K99"/>
    <mergeCell ref="B100:K100"/>
    <mergeCell ref="B59:M59"/>
    <mergeCell ref="G5:H5"/>
    <mergeCell ref="G51:H51"/>
    <mergeCell ref="B56:M56"/>
    <mergeCell ref="B57:M57"/>
    <mergeCell ref="B58:M58"/>
  </mergeCells>
  <pageMargins left="0.7" right="0.7" top="0.75" bottom="0.75" header="0.3" footer="0.3"/>
  <pageSetup scale="50" fitToHeight="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128"/>
  <sheetViews>
    <sheetView workbookViewId="0">
      <selection activeCell="F6" sqref="F6"/>
    </sheetView>
  </sheetViews>
  <sheetFormatPr defaultRowHeight="15" x14ac:dyDescent="0.25"/>
  <cols>
    <col min="2" max="2" width="9.7109375" customWidth="1"/>
    <col min="4" max="4" width="4.140625" customWidth="1"/>
    <col min="5" max="5" width="10" bestFit="1" customWidth="1"/>
    <col min="6" max="6" width="38.5703125" customWidth="1"/>
    <col min="9" max="9" width="10.85546875" bestFit="1" customWidth="1"/>
    <col min="13" max="14" width="12.28515625" customWidth="1"/>
    <col min="15" max="15" width="13.5703125" customWidth="1"/>
  </cols>
  <sheetData>
    <row r="1" spans="1:15" x14ac:dyDescent="0.25">
      <c r="B1" t="s">
        <v>174</v>
      </c>
    </row>
    <row r="2" spans="1:15" x14ac:dyDescent="0.25">
      <c r="B2" t="s">
        <v>175</v>
      </c>
      <c r="E2" s="12">
        <v>929929743</v>
      </c>
      <c r="F2" s="11"/>
    </row>
    <row r="3" spans="1:15" x14ac:dyDescent="0.25">
      <c r="B3" t="s">
        <v>176</v>
      </c>
      <c r="D3" t="s">
        <v>80</v>
      </c>
      <c r="E3" t="s">
        <v>200</v>
      </c>
      <c r="F3" t="s">
        <v>80</v>
      </c>
      <c r="G3" t="s">
        <v>201</v>
      </c>
    </row>
    <row r="4" spans="1:15" x14ac:dyDescent="0.25">
      <c r="B4" t="s">
        <v>177</v>
      </c>
      <c r="E4" t="s">
        <v>0</v>
      </c>
    </row>
    <row r="5" spans="1:15" x14ac:dyDescent="0.25">
      <c r="B5" t="s">
        <v>178</v>
      </c>
      <c r="C5" s="113">
        <f>+Award!U6</f>
        <v>0</v>
      </c>
      <c r="E5" t="s">
        <v>179</v>
      </c>
      <c r="F5" s="113">
        <f>+Award!V6</f>
        <v>0</v>
      </c>
      <c r="G5" s="383" t="s">
        <v>180</v>
      </c>
      <c r="H5" s="383"/>
      <c r="I5">
        <v>4</v>
      </c>
    </row>
    <row r="7" spans="1:15" x14ac:dyDescent="0.25">
      <c r="B7" s="7" t="s">
        <v>181</v>
      </c>
    </row>
    <row r="8" spans="1:15" x14ac:dyDescent="0.25">
      <c r="J8" t="s">
        <v>80</v>
      </c>
    </row>
    <row r="9" spans="1:15" s="3" customFormat="1" ht="75" x14ac:dyDescent="0.25">
      <c r="B9" s="3" t="s">
        <v>182</v>
      </c>
      <c r="C9" s="3" t="s">
        <v>183</v>
      </c>
      <c r="D9" s="3" t="s">
        <v>184</v>
      </c>
      <c r="E9" s="3" t="s">
        <v>185</v>
      </c>
      <c r="G9" s="3" t="s">
        <v>186</v>
      </c>
      <c r="H9" s="3" t="s">
        <v>6</v>
      </c>
      <c r="I9" s="3" t="s">
        <v>187</v>
      </c>
      <c r="J9" s="3" t="s">
        <v>193</v>
      </c>
      <c r="K9" s="3" t="s">
        <v>192</v>
      </c>
      <c r="L9" s="3" t="s">
        <v>188</v>
      </c>
      <c r="M9" s="3" t="s">
        <v>189</v>
      </c>
      <c r="N9" s="3" t="s">
        <v>190</v>
      </c>
      <c r="O9" s="3" t="s">
        <v>191</v>
      </c>
    </row>
    <row r="10" spans="1:15" x14ac:dyDescent="0.25">
      <c r="A10">
        <v>1</v>
      </c>
      <c r="B10" s="12"/>
      <c r="C10" s="12">
        <f>+Award!C9</f>
        <v>0</v>
      </c>
      <c r="D10" s="12" t="s">
        <v>80</v>
      </c>
      <c r="E10" s="12">
        <f>+Award!D9</f>
        <v>0</v>
      </c>
      <c r="F10" s="12"/>
      <c r="G10" s="12"/>
      <c r="H10" s="12">
        <f>+Award!F9</f>
        <v>0</v>
      </c>
      <c r="I10" s="112">
        <f>+Award!AT9</f>
        <v>0</v>
      </c>
      <c r="J10" s="12" t="str">
        <f>+IF(Award!J9=12,Award!AE9," ")</f>
        <v xml:space="preserve"> </v>
      </c>
      <c r="K10" s="111" t="str">
        <f>+IF(Award!J9&lt;12,Award!AE9," ")</f>
        <v xml:space="preserve"> </v>
      </c>
      <c r="L10" s="111">
        <f>+IF(Award!J9&lt;12,Award!M9," ")</f>
        <v>0</v>
      </c>
      <c r="M10" s="112" t="str">
        <f>+Award!W9</f>
        <v xml:space="preserve"> </v>
      </c>
      <c r="N10" s="112" t="str">
        <f>+Award!AK9</f>
        <v xml:space="preserve"> </v>
      </c>
      <c r="O10" s="112">
        <f>SUM(M10:N10)</f>
        <v>0</v>
      </c>
    </row>
    <row r="11" spans="1:15" x14ac:dyDescent="0.25">
      <c r="A11">
        <v>2</v>
      </c>
      <c r="B11" s="12"/>
      <c r="C11" s="12">
        <f>+Award!C10</f>
        <v>0</v>
      </c>
      <c r="D11" s="12" t="s">
        <v>80</v>
      </c>
      <c r="E11" s="12">
        <f>+Award!D10</f>
        <v>0</v>
      </c>
      <c r="F11" s="12"/>
      <c r="G11" s="12"/>
      <c r="H11" s="12">
        <f>+Award!F10</f>
        <v>0</v>
      </c>
      <c r="I11" s="112">
        <f>+Award!AT10</f>
        <v>0</v>
      </c>
      <c r="J11" s="12" t="str">
        <f>+IF(Award!J10=12,Award!AE10," ")</f>
        <v xml:space="preserve"> </v>
      </c>
      <c r="K11" s="111" t="str">
        <f>+IF(Award!J10&lt;12,Award!AE10," ")</f>
        <v xml:space="preserve"> </v>
      </c>
      <c r="L11" s="111">
        <f>+IF(Award!J10&lt;12,Award!M10," ")</f>
        <v>0</v>
      </c>
      <c r="M11" s="112" t="str">
        <f>+Award!W10</f>
        <v xml:space="preserve"> </v>
      </c>
      <c r="N11" s="112" t="str">
        <f>+Award!AK10</f>
        <v xml:space="preserve"> </v>
      </c>
      <c r="O11" s="112">
        <f t="shared" ref="O11:O25" si="0">SUM(M11:N11)</f>
        <v>0</v>
      </c>
    </row>
    <row r="12" spans="1:15" x14ac:dyDescent="0.25">
      <c r="A12">
        <v>3</v>
      </c>
      <c r="B12" s="12"/>
      <c r="C12" s="12">
        <f>+Award!C11</f>
        <v>0</v>
      </c>
      <c r="D12" s="12" t="s">
        <v>80</v>
      </c>
      <c r="E12" s="12">
        <f>+Award!D11</f>
        <v>0</v>
      </c>
      <c r="F12" s="12"/>
      <c r="G12" s="12"/>
      <c r="H12" s="12">
        <f>+Award!F11</f>
        <v>0</v>
      </c>
      <c r="I12" s="112">
        <f>+Award!AT11</f>
        <v>0</v>
      </c>
      <c r="J12" s="12" t="str">
        <f>+IF(Award!J11=12,Award!AE11," ")</f>
        <v xml:space="preserve"> </v>
      </c>
      <c r="K12" s="111" t="str">
        <f>+IF(Award!J11&lt;12,Award!AE11," ")</f>
        <v xml:space="preserve"> </v>
      </c>
      <c r="L12" s="111">
        <f>+IF(Award!J11&lt;12,Award!M11," ")</f>
        <v>0</v>
      </c>
      <c r="M12" s="112" t="str">
        <f>+Award!W11</f>
        <v xml:space="preserve"> </v>
      </c>
      <c r="N12" s="112" t="str">
        <f>+Award!AK11</f>
        <v xml:space="preserve"> </v>
      </c>
      <c r="O12" s="112">
        <f t="shared" si="0"/>
        <v>0</v>
      </c>
    </row>
    <row r="13" spans="1:15" x14ac:dyDescent="0.25">
      <c r="A13">
        <v>4</v>
      </c>
      <c r="B13" s="12"/>
      <c r="C13" s="12">
        <f>+Award!C12</f>
        <v>0</v>
      </c>
      <c r="D13" s="12" t="s">
        <v>80</v>
      </c>
      <c r="E13" s="12">
        <f>+Award!D12</f>
        <v>0</v>
      </c>
      <c r="F13" s="12"/>
      <c r="G13" s="12"/>
      <c r="H13" s="12">
        <f>+Award!F12</f>
        <v>0</v>
      </c>
      <c r="I13" s="112">
        <f>+Award!AT12</f>
        <v>0</v>
      </c>
      <c r="J13" s="12" t="str">
        <f>+IF(Award!J12=12,Award!AE12," ")</f>
        <v xml:space="preserve"> </v>
      </c>
      <c r="K13" s="111" t="str">
        <f>+IF(Award!J12&lt;12,Award!AE12," ")</f>
        <v xml:space="preserve"> </v>
      </c>
      <c r="L13" s="111">
        <f>+IF(Award!J12&lt;12,Award!M12," ")</f>
        <v>0</v>
      </c>
      <c r="M13" s="112" t="str">
        <f>+Award!W12</f>
        <v xml:space="preserve"> </v>
      </c>
      <c r="N13" s="112" t="str">
        <f>+Award!AK12</f>
        <v xml:space="preserve"> </v>
      </c>
      <c r="O13" s="112">
        <f t="shared" si="0"/>
        <v>0</v>
      </c>
    </row>
    <row r="14" spans="1:15" x14ac:dyDescent="0.25">
      <c r="A14">
        <v>5</v>
      </c>
      <c r="B14" s="12"/>
      <c r="C14" s="12">
        <f>+Award!C13</f>
        <v>0</v>
      </c>
      <c r="D14" s="12" t="s">
        <v>80</v>
      </c>
      <c r="E14" s="12">
        <f>+Award!D13</f>
        <v>0</v>
      </c>
      <c r="F14" s="12"/>
      <c r="G14" s="12"/>
      <c r="H14" s="12">
        <f>+Award!F13</f>
        <v>0</v>
      </c>
      <c r="I14" s="112">
        <f>+Award!AT13</f>
        <v>0</v>
      </c>
      <c r="J14" s="12" t="str">
        <f>+IF(Award!J13=12,Award!AE13," ")</f>
        <v xml:space="preserve"> </v>
      </c>
      <c r="K14" s="111" t="str">
        <f>+IF(Award!J13&lt;12,Award!AE13," ")</f>
        <v xml:space="preserve"> </v>
      </c>
      <c r="L14" s="111">
        <f>+IF(Award!J13&lt;12,Award!M13," ")</f>
        <v>0</v>
      </c>
      <c r="M14" s="112" t="str">
        <f>+Award!W13</f>
        <v xml:space="preserve"> </v>
      </c>
      <c r="N14" s="112" t="str">
        <f>+Award!AK13</f>
        <v xml:space="preserve"> </v>
      </c>
      <c r="O14" s="112">
        <f t="shared" si="0"/>
        <v>0</v>
      </c>
    </row>
    <row r="15" spans="1:15" x14ac:dyDescent="0.25">
      <c r="A15">
        <v>6</v>
      </c>
      <c r="B15" s="12"/>
      <c r="C15" s="12">
        <f>+Award!C14</f>
        <v>0</v>
      </c>
      <c r="D15" s="12" t="s">
        <v>80</v>
      </c>
      <c r="E15" s="12">
        <f>+Award!D14</f>
        <v>0</v>
      </c>
      <c r="F15" s="12"/>
      <c r="G15" s="12"/>
      <c r="H15" s="12">
        <f>+Award!F14</f>
        <v>0</v>
      </c>
      <c r="I15" s="112">
        <f>+Award!AT14</f>
        <v>0</v>
      </c>
      <c r="J15" s="12" t="str">
        <f>+IF(Award!J14=12,Award!AE14," ")</f>
        <v xml:space="preserve"> </v>
      </c>
      <c r="K15" s="111" t="str">
        <f>+IF(Award!J14&lt;12,Award!AE14," ")</f>
        <v xml:space="preserve"> </v>
      </c>
      <c r="L15" s="111" t="str">
        <f>+IF(Award!J14&lt;12,Award!M14," ")</f>
        <v xml:space="preserve"> </v>
      </c>
      <c r="M15" s="112" t="str">
        <f>+Award!W14</f>
        <v xml:space="preserve"> </v>
      </c>
      <c r="N15" s="112" t="str">
        <f>+Award!AK14</f>
        <v xml:space="preserve"> </v>
      </c>
      <c r="O15" s="112">
        <f t="shared" si="0"/>
        <v>0</v>
      </c>
    </row>
    <row r="16" spans="1:15" x14ac:dyDescent="0.25">
      <c r="A16">
        <v>7</v>
      </c>
      <c r="B16" s="12"/>
      <c r="C16" s="12">
        <f>+Award!C15</f>
        <v>0</v>
      </c>
      <c r="D16" s="12" t="s">
        <v>80</v>
      </c>
      <c r="E16" s="12">
        <f>+Award!D15</f>
        <v>0</v>
      </c>
      <c r="F16" s="12"/>
      <c r="G16" s="12"/>
      <c r="H16" s="12">
        <f>+Award!F15</f>
        <v>0</v>
      </c>
      <c r="I16" s="112">
        <f>+Award!AT15</f>
        <v>0</v>
      </c>
      <c r="J16" s="12" t="str">
        <f>+IF(Award!J15=12,Award!AE15," ")</f>
        <v xml:space="preserve"> </v>
      </c>
      <c r="K16" s="111" t="str">
        <f>+IF(Award!J15&lt;12,Award!AE15," ")</f>
        <v xml:space="preserve"> </v>
      </c>
      <c r="L16" s="111">
        <f>+IF(Award!J15&lt;12,Award!M15," ")</f>
        <v>0</v>
      </c>
      <c r="M16" s="112" t="str">
        <f>+Award!W15</f>
        <v xml:space="preserve"> </v>
      </c>
      <c r="N16" s="112" t="str">
        <f>+Award!AK15</f>
        <v xml:space="preserve"> </v>
      </c>
      <c r="O16" s="112">
        <f t="shared" si="0"/>
        <v>0</v>
      </c>
    </row>
    <row r="17" spans="1:17" x14ac:dyDescent="0.25">
      <c r="A17">
        <v>8</v>
      </c>
      <c r="B17" s="12"/>
      <c r="C17" s="12">
        <f>+Award!C16</f>
        <v>0</v>
      </c>
      <c r="D17" s="12" t="s">
        <v>80</v>
      </c>
      <c r="E17" s="12">
        <f>+Award!D16</f>
        <v>0</v>
      </c>
      <c r="F17" s="12"/>
      <c r="G17" s="12"/>
      <c r="H17" s="12">
        <f>+Award!F16</f>
        <v>0</v>
      </c>
      <c r="I17" s="112">
        <f>+Award!AT16</f>
        <v>0</v>
      </c>
      <c r="J17" s="12" t="str">
        <f>+IF(Award!J16=12,Award!AE16," ")</f>
        <v xml:space="preserve"> </v>
      </c>
      <c r="K17" s="111" t="str">
        <f>+IF(Award!J16&lt;12,Award!AE16," ")</f>
        <v xml:space="preserve"> </v>
      </c>
      <c r="L17" s="111">
        <f>+IF(Award!J16&lt;12,Award!M16," ")</f>
        <v>0</v>
      </c>
      <c r="M17" s="112" t="str">
        <f>+Award!W16</f>
        <v xml:space="preserve"> </v>
      </c>
      <c r="N17" s="112" t="str">
        <f>+Award!AK16</f>
        <v xml:space="preserve"> </v>
      </c>
      <c r="O17" s="112">
        <f t="shared" si="0"/>
        <v>0</v>
      </c>
    </row>
    <row r="18" spans="1:17" x14ac:dyDescent="0.25">
      <c r="A18">
        <v>9</v>
      </c>
      <c r="B18" s="162"/>
      <c r="C18" s="162">
        <f>+Award!C17</f>
        <v>0</v>
      </c>
      <c r="D18" s="162" t="s">
        <v>80</v>
      </c>
      <c r="E18" s="162">
        <f>+Award!D17</f>
        <v>0</v>
      </c>
      <c r="F18" s="162"/>
      <c r="G18" s="162"/>
      <c r="H18" s="162">
        <f>+Award!F17</f>
        <v>0</v>
      </c>
      <c r="I18" s="163">
        <f>+Award!AT17</f>
        <v>0</v>
      </c>
      <c r="J18" s="12" t="str">
        <f>+IF(Award!J17=12,Award!AE17," ")</f>
        <v xml:space="preserve"> </v>
      </c>
      <c r="K18" s="111" t="str">
        <f>+IF(Award!J17&lt;12,Award!AE17," ")</f>
        <v xml:space="preserve"> </v>
      </c>
      <c r="L18" s="111">
        <f>+IF(Award!J17&lt;12,Award!M17," ")</f>
        <v>0</v>
      </c>
      <c r="M18" s="163" t="str">
        <f>+Award!W17</f>
        <v xml:space="preserve"> </v>
      </c>
      <c r="N18" s="163" t="str">
        <f>+Award!AK17</f>
        <v xml:space="preserve"> </v>
      </c>
      <c r="O18" s="163">
        <f t="shared" si="0"/>
        <v>0</v>
      </c>
    </row>
    <row r="19" spans="1:17" x14ac:dyDescent="0.25">
      <c r="A19">
        <v>10</v>
      </c>
      <c r="B19" s="162"/>
      <c r="C19" s="162">
        <f>+Award!C18</f>
        <v>0</v>
      </c>
      <c r="D19" s="162" t="s">
        <v>80</v>
      </c>
      <c r="E19" s="162">
        <f>+Award!D18</f>
        <v>0</v>
      </c>
      <c r="F19" s="162"/>
      <c r="G19" s="162"/>
      <c r="H19" s="162">
        <f>+Award!F18</f>
        <v>0</v>
      </c>
      <c r="I19" s="163">
        <f>+Award!AT18</f>
        <v>0</v>
      </c>
      <c r="J19" s="12" t="str">
        <f>+IF(Award!J18=12,Award!AE18," ")</f>
        <v xml:space="preserve"> </v>
      </c>
      <c r="K19" s="111" t="str">
        <f>+IF(Award!J18&lt;12,Award!AE18," ")</f>
        <v xml:space="preserve"> </v>
      </c>
      <c r="L19" s="111" t="str">
        <f>+IF(Award!J18&lt;12,Award!M18," ")</f>
        <v xml:space="preserve"> </v>
      </c>
      <c r="M19" s="163" t="str">
        <f>+Award!W18</f>
        <v xml:space="preserve"> </v>
      </c>
      <c r="N19" s="163" t="str">
        <f>+Award!AK18</f>
        <v xml:space="preserve"> </v>
      </c>
      <c r="O19" s="163">
        <f t="shared" si="0"/>
        <v>0</v>
      </c>
    </row>
    <row r="20" spans="1:17" x14ac:dyDescent="0.25">
      <c r="A20">
        <v>11</v>
      </c>
      <c r="B20" s="162"/>
      <c r="C20" s="162">
        <f>+Award!C19</f>
        <v>0</v>
      </c>
      <c r="D20" s="162" t="s">
        <v>80</v>
      </c>
      <c r="E20" s="162">
        <f>+Award!D19</f>
        <v>0</v>
      </c>
      <c r="F20" s="162"/>
      <c r="G20" s="162"/>
      <c r="H20" s="162">
        <f>+Award!F19</f>
        <v>0</v>
      </c>
      <c r="I20" s="163">
        <f>+Award!AT19</f>
        <v>0</v>
      </c>
      <c r="J20" s="12" t="str">
        <f>+IF(Award!J19=12,Award!AE19," ")</f>
        <v xml:space="preserve"> </v>
      </c>
      <c r="K20" s="111" t="str">
        <f>+IF(Award!J19&lt;12,Award!AE19," ")</f>
        <v xml:space="preserve"> </v>
      </c>
      <c r="L20" s="111">
        <f>+IF(Award!J19&lt;12,Award!M19," ")</f>
        <v>0</v>
      </c>
      <c r="M20" s="163" t="str">
        <f>+Award!W19</f>
        <v xml:space="preserve"> </v>
      </c>
      <c r="N20" s="163" t="str">
        <f>+Award!AK19</f>
        <v xml:space="preserve"> </v>
      </c>
      <c r="O20" s="163">
        <f t="shared" si="0"/>
        <v>0</v>
      </c>
    </row>
    <row r="21" spans="1:17" x14ac:dyDescent="0.25">
      <c r="A21">
        <v>12</v>
      </c>
      <c r="B21" s="162"/>
      <c r="C21" s="162">
        <f>+Award!C20</f>
        <v>0</v>
      </c>
      <c r="D21" s="162" t="s">
        <v>80</v>
      </c>
      <c r="E21" s="162">
        <f>+Award!D20</f>
        <v>0</v>
      </c>
      <c r="F21" s="162"/>
      <c r="G21" s="162"/>
      <c r="H21" s="162">
        <f>+Award!F20</f>
        <v>0</v>
      </c>
      <c r="I21" s="163">
        <f>+Award!AT20</f>
        <v>0</v>
      </c>
      <c r="J21" s="12" t="str">
        <f>+IF(Award!J20=12,Award!AE20," ")</f>
        <v xml:space="preserve"> </v>
      </c>
      <c r="K21" s="111" t="str">
        <f>+IF(Award!J20&lt;12,Award!AE20," ")</f>
        <v xml:space="preserve"> </v>
      </c>
      <c r="L21" s="111">
        <f>+IF(Award!J20&lt;12,Award!M20," ")</f>
        <v>0</v>
      </c>
      <c r="M21" s="163" t="str">
        <f>+Award!W20</f>
        <v xml:space="preserve"> </v>
      </c>
      <c r="N21" s="163" t="str">
        <f>+Award!AK20</f>
        <v xml:space="preserve"> </v>
      </c>
      <c r="O21" s="163">
        <f t="shared" si="0"/>
        <v>0</v>
      </c>
    </row>
    <row r="22" spans="1:17" x14ac:dyDescent="0.25">
      <c r="A22">
        <v>13</v>
      </c>
      <c r="B22" s="162"/>
      <c r="C22" s="162">
        <f>+Award!C21</f>
        <v>0</v>
      </c>
      <c r="D22" s="162" t="s">
        <v>80</v>
      </c>
      <c r="E22" s="162">
        <f>+Award!D21</f>
        <v>0</v>
      </c>
      <c r="F22" s="162"/>
      <c r="G22" s="162"/>
      <c r="H22" s="162">
        <f>+Award!F21</f>
        <v>0</v>
      </c>
      <c r="I22" s="163">
        <f>+Award!AT21</f>
        <v>0</v>
      </c>
      <c r="J22" s="12" t="str">
        <f>+IF(Award!J21=12,Award!AE21," ")</f>
        <v xml:space="preserve"> </v>
      </c>
      <c r="K22" s="111" t="str">
        <f>+IF(Award!J21&lt;12,Award!AE21," ")</f>
        <v xml:space="preserve"> </v>
      </c>
      <c r="L22" s="111" t="str">
        <f>+IF(Award!J21&lt;12,Award!M21," ")</f>
        <v xml:space="preserve"> </v>
      </c>
      <c r="M22" s="163" t="str">
        <f>+Award!W21</f>
        <v xml:space="preserve"> </v>
      </c>
      <c r="N22" s="163" t="str">
        <f>+Award!AK21</f>
        <v xml:space="preserve"> </v>
      </c>
      <c r="O22" s="163">
        <f t="shared" si="0"/>
        <v>0</v>
      </c>
    </row>
    <row r="23" spans="1:17" x14ac:dyDescent="0.25">
      <c r="A23">
        <v>14</v>
      </c>
      <c r="B23" s="162"/>
      <c r="C23" s="162">
        <f>+Award!C22</f>
        <v>0</v>
      </c>
      <c r="D23" s="162" t="s">
        <v>80</v>
      </c>
      <c r="E23" s="162">
        <f>+Award!D22</f>
        <v>0</v>
      </c>
      <c r="F23" s="162"/>
      <c r="G23" s="162"/>
      <c r="H23" s="162">
        <f>+Award!F22</f>
        <v>0</v>
      </c>
      <c r="I23" s="163">
        <f>+Award!AT22</f>
        <v>0</v>
      </c>
      <c r="J23" s="12" t="str">
        <f>+IF(Award!J22=12,Award!AE22," ")</f>
        <v xml:space="preserve"> </v>
      </c>
      <c r="K23" s="111" t="str">
        <f>+IF(Award!J22&lt;12,Award!AE22," ")</f>
        <v xml:space="preserve"> </v>
      </c>
      <c r="L23" s="111">
        <f>+IF(Award!J22&lt;12,Award!M22," ")</f>
        <v>0</v>
      </c>
      <c r="M23" s="163" t="str">
        <f>+Award!W22</f>
        <v xml:space="preserve"> </v>
      </c>
      <c r="N23" s="163" t="str">
        <f>+Award!AK22</f>
        <v xml:space="preserve"> </v>
      </c>
      <c r="O23" s="163">
        <f t="shared" si="0"/>
        <v>0</v>
      </c>
    </row>
    <row r="24" spans="1:17" x14ac:dyDescent="0.25">
      <c r="A24">
        <v>15</v>
      </c>
      <c r="B24" s="162"/>
      <c r="C24" s="162">
        <f>+Award!C23</f>
        <v>0</v>
      </c>
      <c r="D24" s="162" t="s">
        <v>80</v>
      </c>
      <c r="E24" s="162">
        <f>+Award!D23</f>
        <v>0</v>
      </c>
      <c r="F24" s="162"/>
      <c r="G24" s="162"/>
      <c r="H24" s="162">
        <f>+Award!F23</f>
        <v>0</v>
      </c>
      <c r="I24" s="163">
        <f>+Award!AT23</f>
        <v>0</v>
      </c>
      <c r="J24" s="12" t="str">
        <f>+IF(Award!J23=12,Award!AE23," ")</f>
        <v xml:space="preserve"> </v>
      </c>
      <c r="K24" s="111" t="str">
        <f>+IF(Award!J23&lt;12,Award!AE23," ")</f>
        <v xml:space="preserve"> </v>
      </c>
      <c r="L24" s="111">
        <f>+IF(Award!J23&lt;12,Award!M23," ")</f>
        <v>0</v>
      </c>
      <c r="M24" s="163" t="str">
        <f>+Award!W23</f>
        <v xml:space="preserve"> </v>
      </c>
      <c r="N24" s="163" t="str">
        <f>+Award!AK23</f>
        <v xml:space="preserve"> </v>
      </c>
      <c r="O24" s="163">
        <f t="shared" si="0"/>
        <v>0</v>
      </c>
    </row>
    <row r="25" spans="1:17" x14ac:dyDescent="0.25">
      <c r="A25">
        <v>16</v>
      </c>
      <c r="B25" s="162"/>
      <c r="C25" s="162">
        <f>+Award!C24</f>
        <v>0</v>
      </c>
      <c r="D25" s="162" t="s">
        <v>80</v>
      </c>
      <c r="E25" s="162">
        <f>+Award!D24</f>
        <v>0</v>
      </c>
      <c r="F25" s="162"/>
      <c r="G25" s="162"/>
      <c r="H25" s="162">
        <f>+Award!F24</f>
        <v>0</v>
      </c>
      <c r="I25" s="163">
        <f>+Award!AT24</f>
        <v>0</v>
      </c>
      <c r="J25" s="12" t="str">
        <f>+IF(Award!J24=12,Award!AE24," ")</f>
        <v xml:space="preserve"> </v>
      </c>
      <c r="K25" s="111" t="str">
        <f>+IF(Award!J24&lt;12,Award!AE24," ")</f>
        <v xml:space="preserve"> </v>
      </c>
      <c r="L25" s="111">
        <f>+IF(Award!J24&lt;12,Award!M24," ")</f>
        <v>0</v>
      </c>
      <c r="M25" s="163" t="str">
        <f>+Award!W24</f>
        <v xml:space="preserve"> </v>
      </c>
      <c r="N25" s="163" t="str">
        <f>+Award!AK24</f>
        <v xml:space="preserve"> </v>
      </c>
      <c r="O25" s="163">
        <f t="shared" si="0"/>
        <v>0</v>
      </c>
    </row>
    <row r="26" spans="1:17" x14ac:dyDescent="0.25">
      <c r="B26" t="s">
        <v>199</v>
      </c>
      <c r="M26" s="50"/>
      <c r="N26" s="50"/>
      <c r="O26" s="112" t="s">
        <v>80</v>
      </c>
    </row>
    <row r="27" spans="1:17" x14ac:dyDescent="0.25">
      <c r="M27" s="50"/>
      <c r="N27" s="50"/>
      <c r="O27" s="112">
        <f>IF(Award!S4&gt;3,SUM(O10:O26),0)</f>
        <v>0</v>
      </c>
      <c r="Q27" t="str">
        <f>+IF(O27=Award!W25+Award!W39," ", "Does not equal budget")</f>
        <v xml:space="preserve"> </v>
      </c>
    </row>
    <row r="29" spans="1:17" x14ac:dyDescent="0.25">
      <c r="B29" t="s">
        <v>202</v>
      </c>
    </row>
    <row r="32" spans="1:17" x14ac:dyDescent="0.25">
      <c r="B32" s="7" t="s">
        <v>203</v>
      </c>
    </row>
    <row r="33" spans="2:17" s="110" customFormat="1" ht="60" x14ac:dyDescent="0.25">
      <c r="B33" s="110" t="s">
        <v>204</v>
      </c>
      <c r="F33" s="3" t="s">
        <v>6</v>
      </c>
      <c r="J33" s="3" t="s">
        <v>193</v>
      </c>
      <c r="K33" s="3" t="s">
        <v>192</v>
      </c>
      <c r="L33" s="3" t="s">
        <v>188</v>
      </c>
      <c r="M33" s="3" t="s">
        <v>189</v>
      </c>
      <c r="N33" s="3" t="s">
        <v>190</v>
      </c>
      <c r="O33" s="3" t="s">
        <v>191</v>
      </c>
    </row>
    <row r="34" spans="2:17" x14ac:dyDescent="0.25">
      <c r="B34" s="12">
        <f>+Award!C28</f>
        <v>0</v>
      </c>
      <c r="F34" t="s">
        <v>205</v>
      </c>
      <c r="J34" s="116" t="str">
        <f>+Award!AE28</f>
        <v xml:space="preserve"> </v>
      </c>
      <c r="K34" s="12"/>
      <c r="L34" s="12"/>
      <c r="M34" s="112" t="str">
        <f>+Award!W28</f>
        <v xml:space="preserve"> </v>
      </c>
      <c r="N34" s="112" t="str">
        <f>+Award!AK28</f>
        <v xml:space="preserve"> </v>
      </c>
      <c r="O34" s="112" t="e">
        <f>+M34+N34</f>
        <v>#VALUE!</v>
      </c>
    </row>
    <row r="35" spans="2:17" x14ac:dyDescent="0.25">
      <c r="B35" s="12">
        <f>+Award!C30+Award!C31</f>
        <v>0</v>
      </c>
      <c r="F35" t="s">
        <v>39</v>
      </c>
      <c r="J35" s="116" t="e">
        <f>+Award!AE30+Award!AE31</f>
        <v>#VALUE!</v>
      </c>
      <c r="K35" s="12"/>
      <c r="L35" s="12"/>
      <c r="M35" s="112" t="e">
        <f>+Award!W30+Award!W31</f>
        <v>#VALUE!</v>
      </c>
      <c r="N35" s="112" t="e">
        <f>+Award!AK30+Award!AK31</f>
        <v>#VALUE!</v>
      </c>
      <c r="O35" s="112" t="e">
        <f>+M35+N35</f>
        <v>#VALUE!</v>
      </c>
    </row>
    <row r="36" spans="2:17" x14ac:dyDescent="0.25">
      <c r="B36" s="12">
        <f>+Award!C32</f>
        <v>0</v>
      </c>
      <c r="F36" t="s">
        <v>206</v>
      </c>
      <c r="J36" s="116">
        <f>+Award!AE32</f>
        <v>0</v>
      </c>
      <c r="K36" s="12"/>
      <c r="L36" s="12"/>
      <c r="M36" s="112" t="str">
        <f>+Award!W32</f>
        <v xml:space="preserve"> </v>
      </c>
      <c r="N36" s="112" t="b">
        <f>+Award!AK32</f>
        <v>0</v>
      </c>
      <c r="O36" s="112" t="e">
        <f>+M36+N36</f>
        <v>#VALUE!</v>
      </c>
    </row>
    <row r="37" spans="2:17" x14ac:dyDescent="0.25">
      <c r="B37" s="12"/>
      <c r="F37" t="s">
        <v>207</v>
      </c>
      <c r="J37" s="12"/>
      <c r="K37" s="12"/>
      <c r="L37" s="12"/>
      <c r="M37" s="112"/>
      <c r="N37" s="112"/>
      <c r="O37" s="112"/>
    </row>
    <row r="38" spans="2:17" x14ac:dyDescent="0.25">
      <c r="B38" s="12">
        <f>+Award!C29</f>
        <v>0</v>
      </c>
      <c r="F38" s="12"/>
      <c r="J38" s="116" t="str">
        <f>+Award!AE29</f>
        <v xml:space="preserve"> </v>
      </c>
      <c r="K38" s="12"/>
      <c r="L38" s="12"/>
      <c r="M38" s="112" t="str">
        <f>+Award!W29</f>
        <v xml:space="preserve"> </v>
      </c>
      <c r="N38" s="112" t="str">
        <f>+Award!AK29</f>
        <v xml:space="preserve"> </v>
      </c>
      <c r="O38" s="112" t="e">
        <f t="shared" ref="O38:O43" si="1">+M38+N38</f>
        <v>#VALUE!</v>
      </c>
    </row>
    <row r="39" spans="2:17" x14ac:dyDescent="0.25">
      <c r="B39" s="12">
        <f>+Award!C33</f>
        <v>0</v>
      </c>
      <c r="F39" s="12"/>
      <c r="J39" s="116" t="str">
        <f>+Award!AE33</f>
        <v xml:space="preserve"> </v>
      </c>
      <c r="K39" s="12"/>
      <c r="L39" s="12"/>
      <c r="M39" s="112" t="str">
        <f>+Award!W33</f>
        <v xml:space="preserve"> </v>
      </c>
      <c r="N39" s="112" t="str">
        <f>+Award!AK33</f>
        <v xml:space="preserve"> </v>
      </c>
      <c r="O39" s="112" t="e">
        <f t="shared" si="1"/>
        <v>#VALUE!</v>
      </c>
    </row>
    <row r="40" spans="2:17" x14ac:dyDescent="0.25">
      <c r="B40" s="12"/>
      <c r="F40" s="12"/>
      <c r="J40" s="12"/>
      <c r="K40" s="12"/>
      <c r="L40" s="12"/>
      <c r="M40" s="112"/>
      <c r="N40" s="112"/>
      <c r="O40" s="112">
        <f t="shared" si="1"/>
        <v>0</v>
      </c>
    </row>
    <row r="41" spans="2:17" x14ac:dyDescent="0.25">
      <c r="B41" s="12"/>
      <c r="F41" s="12"/>
      <c r="J41" s="12"/>
      <c r="K41" s="12"/>
      <c r="L41" s="12"/>
      <c r="M41" s="112"/>
      <c r="N41" s="112"/>
      <c r="O41" s="112">
        <f t="shared" si="1"/>
        <v>0</v>
      </c>
    </row>
    <row r="42" spans="2:17" x14ac:dyDescent="0.25">
      <c r="B42" s="12"/>
      <c r="F42" s="12"/>
      <c r="J42" s="12"/>
      <c r="K42" s="12"/>
      <c r="L42" s="12"/>
      <c r="M42" s="112"/>
      <c r="N42" s="112"/>
      <c r="O42" s="112">
        <f t="shared" si="1"/>
        <v>0</v>
      </c>
    </row>
    <row r="43" spans="2:17" x14ac:dyDescent="0.25">
      <c r="B43" s="12"/>
      <c r="F43" s="12"/>
      <c r="J43" s="12"/>
      <c r="K43" s="12"/>
      <c r="L43" s="12"/>
      <c r="M43" s="112"/>
      <c r="N43" s="112"/>
      <c r="O43" s="112">
        <f t="shared" si="1"/>
        <v>0</v>
      </c>
    </row>
    <row r="44" spans="2:17" x14ac:dyDescent="0.25">
      <c r="B44" s="12">
        <f>IF(Award!S4&gt;3,SUM(B34:B43),0)</f>
        <v>0</v>
      </c>
      <c r="F44" t="s">
        <v>208</v>
      </c>
      <c r="M44" s="50"/>
      <c r="N44" s="117" t="s">
        <v>91</v>
      </c>
      <c r="O44" s="112">
        <f>IF(Award!S4&gt;3,SUM(O34:O43),0)</f>
        <v>0</v>
      </c>
      <c r="Q44" t="str">
        <f>+IF(O44=Award!W34+Award!W40," ","Does not equal budget")</f>
        <v xml:space="preserve"> </v>
      </c>
    </row>
    <row r="45" spans="2:17" x14ac:dyDescent="0.25">
      <c r="M45" s="50"/>
      <c r="N45" s="117" t="s">
        <v>209</v>
      </c>
      <c r="O45" s="118">
        <f>+O44+O27</f>
        <v>0</v>
      </c>
      <c r="Q45" t="s">
        <v>80</v>
      </c>
    </row>
    <row r="48" spans="2:17" x14ac:dyDescent="0.25">
      <c r="B48" t="s">
        <v>175</v>
      </c>
      <c r="E48" s="12">
        <v>929929743</v>
      </c>
      <c r="F48" s="11"/>
    </row>
    <row r="49" spans="1:15" x14ac:dyDescent="0.25">
      <c r="B49" t="s">
        <v>176</v>
      </c>
      <c r="D49" t="s">
        <v>80</v>
      </c>
      <c r="E49" t="s">
        <v>200</v>
      </c>
      <c r="F49" t="s">
        <v>80</v>
      </c>
      <c r="G49" t="s">
        <v>201</v>
      </c>
    </row>
    <row r="50" spans="1:15" x14ac:dyDescent="0.25">
      <c r="B50" t="s">
        <v>177</v>
      </c>
      <c r="E50" t="s">
        <v>0</v>
      </c>
    </row>
    <row r="51" spans="1:15" x14ac:dyDescent="0.25">
      <c r="B51" t="s">
        <v>178</v>
      </c>
      <c r="C51" s="113">
        <f>+C5</f>
        <v>0</v>
      </c>
      <c r="E51" t="s">
        <v>179</v>
      </c>
      <c r="F51" s="113">
        <f>+F5</f>
        <v>0</v>
      </c>
      <c r="G51" s="383" t="s">
        <v>180</v>
      </c>
      <c r="H51" s="383"/>
      <c r="I51">
        <f>+I5</f>
        <v>4</v>
      </c>
    </row>
    <row r="53" spans="1:15" x14ac:dyDescent="0.25">
      <c r="B53" s="7" t="s">
        <v>210</v>
      </c>
    </row>
    <row r="54" spans="1:15" x14ac:dyDescent="0.25">
      <c r="B54" s="7" t="s">
        <v>211</v>
      </c>
    </row>
    <row r="55" spans="1:15" x14ac:dyDescent="0.25">
      <c r="E55" t="s">
        <v>212</v>
      </c>
      <c r="G55" s="121" t="s">
        <v>261</v>
      </c>
      <c r="H55" s="121"/>
      <c r="I55" s="121"/>
      <c r="O55" s="114" t="s">
        <v>213</v>
      </c>
    </row>
    <row r="56" spans="1:15" x14ac:dyDescent="0.25">
      <c r="A56">
        <v>1</v>
      </c>
      <c r="B56" s="384"/>
      <c r="C56" s="385"/>
      <c r="D56" s="385"/>
      <c r="E56" s="385"/>
      <c r="F56" s="385"/>
      <c r="G56" s="385"/>
      <c r="H56" s="385"/>
      <c r="I56" s="385"/>
      <c r="J56" s="385"/>
      <c r="K56" s="385"/>
      <c r="L56" s="385"/>
      <c r="M56" s="386"/>
      <c r="O56" s="112"/>
    </row>
    <row r="57" spans="1:15" x14ac:dyDescent="0.25">
      <c r="A57">
        <v>2</v>
      </c>
      <c r="B57" s="384"/>
      <c r="C57" s="385"/>
      <c r="D57" s="385"/>
      <c r="E57" s="385"/>
      <c r="F57" s="385"/>
      <c r="G57" s="385"/>
      <c r="H57" s="385"/>
      <c r="I57" s="385"/>
      <c r="J57" s="385"/>
      <c r="K57" s="385"/>
      <c r="L57" s="385"/>
      <c r="M57" s="386"/>
      <c r="O57" s="112"/>
    </row>
    <row r="58" spans="1:15" x14ac:dyDescent="0.25">
      <c r="A58">
        <v>3</v>
      </c>
      <c r="B58" s="384"/>
      <c r="C58" s="385"/>
      <c r="D58" s="385"/>
      <c r="E58" s="385"/>
      <c r="F58" s="385"/>
      <c r="G58" s="385"/>
      <c r="H58" s="385"/>
      <c r="I58" s="385"/>
      <c r="J58" s="385"/>
      <c r="K58" s="385"/>
      <c r="L58" s="385"/>
      <c r="M58" s="386"/>
      <c r="O58" s="112"/>
    </row>
    <row r="59" spans="1:15" x14ac:dyDescent="0.25">
      <c r="A59">
        <v>4</v>
      </c>
      <c r="B59" s="384"/>
      <c r="C59" s="385"/>
      <c r="D59" s="385"/>
      <c r="E59" s="385"/>
      <c r="F59" s="385"/>
      <c r="G59" s="385"/>
      <c r="H59" s="385"/>
      <c r="I59" s="385"/>
      <c r="J59" s="385"/>
      <c r="K59" s="385"/>
      <c r="L59" s="385"/>
      <c r="M59" s="386"/>
      <c r="O59" s="112"/>
    </row>
    <row r="60" spans="1:15" x14ac:dyDescent="0.25">
      <c r="A60">
        <v>5</v>
      </c>
      <c r="B60" s="384"/>
      <c r="C60" s="385"/>
      <c r="D60" s="385"/>
      <c r="E60" s="385"/>
      <c r="F60" s="385"/>
      <c r="G60" s="385"/>
      <c r="H60" s="385"/>
      <c r="I60" s="385"/>
      <c r="J60" s="385"/>
      <c r="K60" s="385"/>
      <c r="L60" s="385"/>
      <c r="M60" s="386"/>
      <c r="O60" s="112"/>
    </row>
    <row r="61" spans="1:15" x14ac:dyDescent="0.25">
      <c r="A61">
        <v>6</v>
      </c>
      <c r="B61" s="384"/>
      <c r="C61" s="385"/>
      <c r="D61" s="385"/>
      <c r="E61" s="385"/>
      <c r="F61" s="385"/>
      <c r="G61" s="385"/>
      <c r="H61" s="385"/>
      <c r="I61" s="385"/>
      <c r="J61" s="385"/>
      <c r="K61" s="385"/>
      <c r="L61" s="385"/>
      <c r="M61" s="386"/>
      <c r="O61" s="112"/>
    </row>
    <row r="62" spans="1:15" x14ac:dyDescent="0.25">
      <c r="A62">
        <v>7</v>
      </c>
      <c r="B62" s="384"/>
      <c r="C62" s="385"/>
      <c r="D62" s="385"/>
      <c r="E62" s="385"/>
      <c r="F62" s="385"/>
      <c r="G62" s="385"/>
      <c r="H62" s="385"/>
      <c r="I62" s="385"/>
      <c r="J62" s="385"/>
      <c r="K62" s="385"/>
      <c r="L62" s="385"/>
      <c r="M62" s="386"/>
      <c r="O62" s="112"/>
    </row>
    <row r="63" spans="1:15" x14ac:dyDescent="0.25">
      <c r="A63">
        <v>8</v>
      </c>
      <c r="B63" s="384"/>
      <c r="C63" s="385"/>
      <c r="D63" s="385"/>
      <c r="E63" s="385"/>
      <c r="F63" s="385"/>
      <c r="G63" s="385"/>
      <c r="H63" s="385"/>
      <c r="I63" s="385"/>
      <c r="J63" s="385"/>
      <c r="K63" s="385"/>
      <c r="L63" s="385"/>
      <c r="M63" s="386"/>
      <c r="O63" s="112"/>
    </row>
    <row r="64" spans="1:15" x14ac:dyDescent="0.25">
      <c r="A64">
        <v>9</v>
      </c>
      <c r="B64" s="384"/>
      <c r="C64" s="385"/>
      <c r="D64" s="385"/>
      <c r="E64" s="385"/>
      <c r="F64" s="385"/>
      <c r="G64" s="385"/>
      <c r="H64" s="385"/>
      <c r="I64" s="385"/>
      <c r="J64" s="385"/>
      <c r="K64" s="385"/>
      <c r="L64" s="385"/>
      <c r="M64" s="386"/>
      <c r="O64" s="112"/>
    </row>
    <row r="65" spans="1:15" x14ac:dyDescent="0.25">
      <c r="A65">
        <v>10</v>
      </c>
      <c r="B65" s="384"/>
      <c r="C65" s="385"/>
      <c r="D65" s="385"/>
      <c r="E65" s="385"/>
      <c r="F65" s="385"/>
      <c r="G65" s="385"/>
      <c r="H65" s="385"/>
      <c r="I65" s="385"/>
      <c r="J65" s="385"/>
      <c r="K65" s="385"/>
      <c r="L65" s="385"/>
      <c r="M65" s="386"/>
      <c r="O65" s="112"/>
    </row>
    <row r="66" spans="1:15" x14ac:dyDescent="0.25">
      <c r="A66">
        <v>11</v>
      </c>
      <c r="B66" t="s">
        <v>214</v>
      </c>
      <c r="O66" s="112">
        <f>IF(Award!S4&gt;3,SUM(O56:O65),0)</f>
        <v>0</v>
      </c>
    </row>
    <row r="69" spans="1:15" x14ac:dyDescent="0.25">
      <c r="B69" t="s">
        <v>215</v>
      </c>
      <c r="E69" s="387"/>
      <c r="F69" s="388"/>
      <c r="G69" s="388"/>
      <c r="H69" s="388"/>
      <c r="I69" s="388"/>
      <c r="J69" s="388"/>
      <c r="K69" s="388"/>
      <c r="L69" s="389"/>
    </row>
    <row r="72" spans="1:15" x14ac:dyDescent="0.25">
      <c r="B72" s="7" t="s">
        <v>216</v>
      </c>
      <c r="O72" s="114" t="s">
        <v>213</v>
      </c>
    </row>
    <row r="73" spans="1:15" x14ac:dyDescent="0.25">
      <c r="A73">
        <v>1</v>
      </c>
      <c r="B73" t="s">
        <v>217</v>
      </c>
      <c r="O73" s="112">
        <f>+IF(Award!S4&gt;3,Award!W49,0)</f>
        <v>0</v>
      </c>
    </row>
    <row r="74" spans="1:15" x14ac:dyDescent="0.25">
      <c r="A74">
        <v>2</v>
      </c>
      <c r="B74" t="s">
        <v>218</v>
      </c>
      <c r="O74" s="112">
        <f>+IF(Award!S4&gt;3,Award!W50,0)</f>
        <v>0</v>
      </c>
    </row>
    <row r="75" spans="1:15" x14ac:dyDescent="0.25">
      <c r="N75" s="30" t="s">
        <v>219</v>
      </c>
      <c r="O75" s="112">
        <f>SUM(O73:O74)</f>
        <v>0</v>
      </c>
    </row>
    <row r="76" spans="1:15" x14ac:dyDescent="0.25">
      <c r="O76" s="119"/>
    </row>
    <row r="77" spans="1:15" x14ac:dyDescent="0.25">
      <c r="B77" s="7" t="s">
        <v>220</v>
      </c>
      <c r="O77" s="120" t="s">
        <v>213</v>
      </c>
    </row>
    <row r="78" spans="1:15" x14ac:dyDescent="0.25">
      <c r="A78">
        <v>1</v>
      </c>
      <c r="B78" t="s">
        <v>221</v>
      </c>
      <c r="O78" s="112">
        <v>0</v>
      </c>
    </row>
    <row r="79" spans="1:15" x14ac:dyDescent="0.25">
      <c r="A79">
        <v>2</v>
      </c>
      <c r="B79" t="s">
        <v>57</v>
      </c>
      <c r="O79" s="112">
        <f>+IF(Award!S4&gt;3,Award!W54,0)</f>
        <v>0</v>
      </c>
    </row>
    <row r="80" spans="1:15" x14ac:dyDescent="0.25">
      <c r="A80">
        <v>3</v>
      </c>
      <c r="B80" t="s">
        <v>52</v>
      </c>
      <c r="O80" s="112">
        <f>+IF(Award!S4&gt;3,Award!W55,0)</f>
        <v>0</v>
      </c>
    </row>
    <row r="81" spans="1:15" x14ac:dyDescent="0.25">
      <c r="A81">
        <v>4</v>
      </c>
      <c r="B81" t="s">
        <v>58</v>
      </c>
      <c r="O81" s="112">
        <f>+IF(Award!S4&gt;3,Award!W56,0)</f>
        <v>0</v>
      </c>
    </row>
    <row r="82" spans="1:15" x14ac:dyDescent="0.25">
      <c r="A82">
        <v>5</v>
      </c>
      <c r="B82" t="s">
        <v>59</v>
      </c>
      <c r="C82" s="387"/>
      <c r="D82" s="388"/>
      <c r="E82" s="388"/>
      <c r="F82" s="388"/>
      <c r="G82" s="388"/>
      <c r="H82" s="388"/>
      <c r="I82" s="388"/>
      <c r="J82" s="388"/>
      <c r="K82" s="388"/>
      <c r="L82" s="389"/>
      <c r="O82" s="112">
        <f>+IF(Award!S4&gt;3,Award!W57,0)</f>
        <v>0</v>
      </c>
    </row>
    <row r="83" spans="1:15" x14ac:dyDescent="0.25">
      <c r="A83" s="12"/>
      <c r="B83" t="s">
        <v>222</v>
      </c>
      <c r="N83" s="114" t="s">
        <v>223</v>
      </c>
      <c r="O83" s="112">
        <f>SUM(O78:O82)</f>
        <v>0</v>
      </c>
    </row>
    <row r="84" spans="1:15" x14ac:dyDescent="0.25">
      <c r="O84" s="119"/>
    </row>
    <row r="85" spans="1:15" x14ac:dyDescent="0.25">
      <c r="O85" s="119"/>
    </row>
    <row r="86" spans="1:15" x14ac:dyDescent="0.25">
      <c r="B86" t="s">
        <v>175</v>
      </c>
      <c r="E86" s="12">
        <v>929929743</v>
      </c>
      <c r="F86" s="11"/>
      <c r="O86" s="119"/>
    </row>
    <row r="87" spans="1:15" x14ac:dyDescent="0.25">
      <c r="B87" t="s">
        <v>176</v>
      </c>
      <c r="D87" t="s">
        <v>80</v>
      </c>
      <c r="E87" t="s">
        <v>200</v>
      </c>
      <c r="F87" t="s">
        <v>80</v>
      </c>
      <c r="G87" t="s">
        <v>201</v>
      </c>
      <c r="O87" s="119"/>
    </row>
    <row r="88" spans="1:15" x14ac:dyDescent="0.25">
      <c r="B88" t="s">
        <v>177</v>
      </c>
      <c r="E88" t="s">
        <v>0</v>
      </c>
      <c r="O88" s="119"/>
    </row>
    <row r="89" spans="1:15" x14ac:dyDescent="0.25">
      <c r="B89" t="s">
        <v>178</v>
      </c>
      <c r="C89" s="113">
        <f>+C51</f>
        <v>0</v>
      </c>
      <c r="E89" t="s">
        <v>179</v>
      </c>
      <c r="F89" s="113">
        <f>+F51</f>
        <v>0</v>
      </c>
      <c r="G89" s="383" t="s">
        <v>180</v>
      </c>
      <c r="H89" s="383"/>
      <c r="I89">
        <f>+I51</f>
        <v>4</v>
      </c>
      <c r="O89" s="119"/>
    </row>
    <row r="90" spans="1:15" x14ac:dyDescent="0.25">
      <c r="O90" s="119"/>
    </row>
    <row r="91" spans="1:15" x14ac:dyDescent="0.25">
      <c r="B91" s="7" t="s">
        <v>224</v>
      </c>
      <c r="O91" s="120" t="s">
        <v>213</v>
      </c>
    </row>
    <row r="92" spans="1:15" x14ac:dyDescent="0.25">
      <c r="A92">
        <v>1</v>
      </c>
      <c r="B92" t="s">
        <v>225</v>
      </c>
      <c r="O92" s="112">
        <f>+IF(Award!S4&gt;3,Award!W61,0)</f>
        <v>0</v>
      </c>
    </row>
    <row r="93" spans="1:15" x14ac:dyDescent="0.25">
      <c r="A93">
        <v>2</v>
      </c>
      <c r="B93" t="s">
        <v>65</v>
      </c>
      <c r="O93" s="112">
        <f>+IF(Award!S4&gt;3,Award!W62,0)</f>
        <v>0</v>
      </c>
    </row>
    <row r="94" spans="1:15" x14ac:dyDescent="0.25">
      <c r="A94">
        <v>3</v>
      </c>
      <c r="B94" t="s">
        <v>226</v>
      </c>
      <c r="O94" s="112">
        <f>+IF(Award!S4&gt;3,Award!W63,0)</f>
        <v>0</v>
      </c>
    </row>
    <row r="95" spans="1:15" x14ac:dyDescent="0.25">
      <c r="A95">
        <v>4</v>
      </c>
      <c r="B95" t="s">
        <v>227</v>
      </c>
      <c r="O95" s="112">
        <f>+IF(Award!S4&gt;3,Award!W64,0)</f>
        <v>0</v>
      </c>
    </row>
    <row r="96" spans="1:15" x14ac:dyDescent="0.25">
      <c r="A96">
        <v>5</v>
      </c>
      <c r="B96" t="s">
        <v>228</v>
      </c>
      <c r="O96" s="112">
        <f>+IF(Award!S4&gt;3,SUM(Award!W66:W85),0)</f>
        <v>0</v>
      </c>
    </row>
    <row r="97" spans="1:17" x14ac:dyDescent="0.25">
      <c r="A97">
        <v>6</v>
      </c>
      <c r="B97" t="s">
        <v>229</v>
      </c>
      <c r="O97" s="112">
        <f>+IF(Award!S4&gt;3,Award!W46,0)</f>
        <v>0</v>
      </c>
    </row>
    <row r="98" spans="1:17" x14ac:dyDescent="0.25">
      <c r="A98">
        <v>7</v>
      </c>
      <c r="B98" t="s">
        <v>230</v>
      </c>
      <c r="O98" s="112">
        <v>0</v>
      </c>
    </row>
    <row r="99" spans="1:17" x14ac:dyDescent="0.25">
      <c r="A99">
        <v>8</v>
      </c>
      <c r="B99" s="387" t="str">
        <f>+Award!C86</f>
        <v>Tuition / Tuition Remission</v>
      </c>
      <c r="C99" s="388"/>
      <c r="D99" s="388"/>
      <c r="E99" s="388"/>
      <c r="F99" s="388"/>
      <c r="G99" s="388"/>
      <c r="H99" s="388"/>
      <c r="I99" s="388"/>
      <c r="J99" s="388"/>
      <c r="K99" s="389"/>
      <c r="O99" s="112">
        <f>+IF(Award!S4&gt;3,Award!W86,0)</f>
        <v>0</v>
      </c>
    </row>
    <row r="100" spans="1:17" x14ac:dyDescent="0.25">
      <c r="A100">
        <v>9</v>
      </c>
      <c r="B100" s="387"/>
      <c r="C100" s="388"/>
      <c r="D100" s="388"/>
      <c r="E100" s="388"/>
      <c r="F100" s="388"/>
      <c r="G100" s="388"/>
      <c r="H100" s="388"/>
      <c r="I100" s="388"/>
      <c r="J100" s="388"/>
      <c r="K100" s="389"/>
      <c r="O100" s="112">
        <f>+IF(Award!S4&gt;3,Award!W87,0)</f>
        <v>0</v>
      </c>
    </row>
    <row r="101" spans="1:17" x14ac:dyDescent="0.25">
      <c r="A101">
        <v>10</v>
      </c>
      <c r="B101" s="387"/>
      <c r="C101" s="388"/>
      <c r="D101" s="388"/>
      <c r="E101" s="388"/>
      <c r="F101" s="388"/>
      <c r="G101" s="388"/>
      <c r="H101" s="388"/>
      <c r="I101" s="388"/>
      <c r="J101" s="388"/>
      <c r="K101" s="389"/>
      <c r="O101" s="112" t="s">
        <v>80</v>
      </c>
    </row>
    <row r="102" spans="1:17" x14ac:dyDescent="0.25">
      <c r="N102" s="114" t="s">
        <v>71</v>
      </c>
      <c r="O102" s="112">
        <f>SUM(O92:O101)</f>
        <v>0</v>
      </c>
    </row>
    <row r="103" spans="1:17" x14ac:dyDescent="0.25">
      <c r="O103" s="119"/>
    </row>
    <row r="104" spans="1:17" x14ac:dyDescent="0.25">
      <c r="O104" s="119"/>
    </row>
    <row r="105" spans="1:17" x14ac:dyDescent="0.25">
      <c r="B105" s="7" t="s">
        <v>231</v>
      </c>
      <c r="O105" s="120" t="s">
        <v>213</v>
      </c>
    </row>
    <row r="106" spans="1:17" x14ac:dyDescent="0.25">
      <c r="N106" s="114" t="s">
        <v>232</v>
      </c>
      <c r="O106" s="112">
        <f>+ROUND((O102+O83+O75+O66+O45),0)</f>
        <v>0</v>
      </c>
      <c r="Q106" t="str">
        <f>+IF(O106=Award!W90,"Equals Budget", "Does not Equal Budget")</f>
        <v>Equals Budget</v>
      </c>
    </row>
    <row r="107" spans="1:17" x14ac:dyDescent="0.25">
      <c r="O107" s="119"/>
    </row>
    <row r="108" spans="1:17" x14ac:dyDescent="0.25">
      <c r="B108" t="s">
        <v>233</v>
      </c>
      <c r="O108" s="119"/>
    </row>
    <row r="109" spans="1:17" s="115" customFormat="1" x14ac:dyDescent="0.25">
      <c r="C109" s="115" t="s">
        <v>235</v>
      </c>
      <c r="I109" s="115" t="s">
        <v>236</v>
      </c>
      <c r="L109" s="115" t="s">
        <v>234</v>
      </c>
      <c r="O109" s="120" t="s">
        <v>213</v>
      </c>
    </row>
    <row r="110" spans="1:17" x14ac:dyDescent="0.25">
      <c r="A110">
        <v>1</v>
      </c>
      <c r="B110" s="387" t="str">
        <f>+IF(Award!$H$93&gt;0,"MTDC",IF(Award!$H$94&gt;0,"TDC", IF(Award!$H$95&gt;0, "TFFA"," ")))</f>
        <v>TFFA</v>
      </c>
      <c r="C110" s="388"/>
      <c r="D110" s="388"/>
      <c r="E110" s="388"/>
      <c r="F110" s="389"/>
      <c r="I110" s="392" t="str">
        <f>+IF(Award!$H$93&gt;0,Award!H93,IF(Award!$H$94&gt;0,Award!H94,IF(Award!$H$95&gt;0,Award!H95,0)))</f>
        <v xml:space="preserve"> </v>
      </c>
      <c r="J110" s="393"/>
      <c r="L110" s="390">
        <f>+IF(Award!$H$93&gt;0,Award!V93,IF(Award!$H$94&gt;0,Award!W90,IF(Award!$H$95&gt;0,Award!W90,0)))</f>
        <v>0</v>
      </c>
      <c r="M110" s="391"/>
      <c r="O110" s="112" t="e">
        <f>+ROUND(L110*I110,0)</f>
        <v>#VALUE!</v>
      </c>
      <c r="Q110" t="s">
        <v>80</v>
      </c>
    </row>
    <row r="111" spans="1:17" x14ac:dyDescent="0.25">
      <c r="A111">
        <v>2</v>
      </c>
      <c r="B111" s="387"/>
      <c r="C111" s="388"/>
      <c r="D111" s="388"/>
      <c r="E111" s="388"/>
      <c r="F111" s="389"/>
      <c r="I111" s="387"/>
      <c r="J111" s="389"/>
      <c r="L111" s="387"/>
      <c r="M111" s="389"/>
      <c r="O111" s="112" t="s">
        <v>80</v>
      </c>
    </row>
    <row r="112" spans="1:17" x14ac:dyDescent="0.25">
      <c r="A112">
        <v>3</v>
      </c>
      <c r="B112" s="387"/>
      <c r="C112" s="388"/>
      <c r="D112" s="388"/>
      <c r="E112" s="388"/>
      <c r="F112" s="389"/>
      <c r="I112" s="387"/>
      <c r="J112" s="389"/>
      <c r="L112" s="387"/>
      <c r="M112" s="389"/>
      <c r="O112" s="112" t="s">
        <v>80</v>
      </c>
    </row>
    <row r="113" spans="1:17" x14ac:dyDescent="0.25">
      <c r="A113">
        <v>4</v>
      </c>
      <c r="B113" s="387"/>
      <c r="C113" s="388"/>
      <c r="D113" s="388"/>
      <c r="E113" s="388"/>
      <c r="F113" s="389"/>
      <c r="I113" s="387"/>
      <c r="J113" s="389"/>
      <c r="L113" s="387"/>
      <c r="M113" s="389"/>
      <c r="O113" s="112" t="s">
        <v>80</v>
      </c>
    </row>
    <row r="114" spans="1:17" x14ac:dyDescent="0.25">
      <c r="N114" s="114" t="s">
        <v>237</v>
      </c>
      <c r="O114" s="112" t="e">
        <f>SUM(O110:O113)</f>
        <v>#VALUE!</v>
      </c>
    </row>
    <row r="117" spans="1:17" x14ac:dyDescent="0.25">
      <c r="B117" t="s">
        <v>239</v>
      </c>
      <c r="F117" s="387" t="s">
        <v>241</v>
      </c>
      <c r="G117" s="388"/>
      <c r="H117" s="388"/>
      <c r="I117" s="388"/>
      <c r="J117" s="388"/>
      <c r="K117" s="388"/>
      <c r="L117" s="388"/>
      <c r="M117" s="388"/>
      <c r="N117" s="388"/>
      <c r="O117" s="389"/>
    </row>
    <row r="118" spans="1:17" x14ac:dyDescent="0.25">
      <c r="B118" t="s">
        <v>240</v>
      </c>
    </row>
    <row r="120" spans="1:17" x14ac:dyDescent="0.25">
      <c r="B120" s="7" t="s">
        <v>238</v>
      </c>
      <c r="O120" s="114" t="s">
        <v>213</v>
      </c>
    </row>
    <row r="121" spans="1:17" x14ac:dyDescent="0.25">
      <c r="E121" t="s">
        <v>242</v>
      </c>
      <c r="O121" s="112" t="e">
        <f>+ROUND(O106+O114,0)</f>
        <v>#VALUE!</v>
      </c>
      <c r="Q121" t="e">
        <f>+IF(O121=Award!W98,"Equals Budget", "Does not Equal Budget")</f>
        <v>#VALUE!</v>
      </c>
    </row>
    <row r="122" spans="1:17" x14ac:dyDescent="0.25">
      <c r="O122" s="50"/>
    </row>
    <row r="123" spans="1:17" x14ac:dyDescent="0.25">
      <c r="O123" s="50"/>
    </row>
    <row r="124" spans="1:17" x14ac:dyDescent="0.25">
      <c r="B124" s="7" t="s">
        <v>243</v>
      </c>
      <c r="O124" s="117" t="s">
        <v>213</v>
      </c>
    </row>
    <row r="125" spans="1:17" x14ac:dyDescent="0.25">
      <c r="O125" s="112">
        <v>0</v>
      </c>
    </row>
    <row r="126" spans="1:17" x14ac:dyDescent="0.25">
      <c r="O126" s="50"/>
    </row>
    <row r="128" spans="1:17" x14ac:dyDescent="0.25">
      <c r="B128" s="7" t="s">
        <v>244</v>
      </c>
      <c r="E128" s="387"/>
      <c r="F128" s="388"/>
      <c r="G128" s="388"/>
      <c r="H128" s="388"/>
      <c r="I128" s="389"/>
    </row>
  </sheetData>
  <sheetProtection algorithmName="SHA-512" hashValue="t2QxoJRAS2Ml2gj3e+GktMHQzfxUHZR4M66FKenr5yh18iCB28LhywvEp4C66Fow0iDiwErWiECr5KT11HGA3Q==" saltValue="GkoygVsNR0d3vkTOz1p03w==" spinCount="100000" sheet="1" objects="1" scenarios="1"/>
  <mergeCells count="32">
    <mergeCell ref="F117:O117"/>
    <mergeCell ref="E128:I128"/>
    <mergeCell ref="B112:F112"/>
    <mergeCell ref="I112:J112"/>
    <mergeCell ref="L112:M112"/>
    <mergeCell ref="B113:F113"/>
    <mergeCell ref="I113:J113"/>
    <mergeCell ref="L113:M113"/>
    <mergeCell ref="B110:F110"/>
    <mergeCell ref="I110:J110"/>
    <mergeCell ref="L110:M110"/>
    <mergeCell ref="B111:F111"/>
    <mergeCell ref="I111:J111"/>
    <mergeCell ref="L111:M111"/>
    <mergeCell ref="B101:K101"/>
    <mergeCell ref="B60:M60"/>
    <mergeCell ref="B61:M61"/>
    <mergeCell ref="B62:M62"/>
    <mergeCell ref="B63:M63"/>
    <mergeCell ref="B64:M64"/>
    <mergeCell ref="B65:M65"/>
    <mergeCell ref="E69:L69"/>
    <mergeCell ref="C82:L82"/>
    <mergeCell ref="G89:H89"/>
    <mergeCell ref="B99:K99"/>
    <mergeCell ref="B100:K100"/>
    <mergeCell ref="B59:M59"/>
    <mergeCell ref="G5:H5"/>
    <mergeCell ref="G51:H51"/>
    <mergeCell ref="B56:M56"/>
    <mergeCell ref="B57:M57"/>
    <mergeCell ref="B58:M58"/>
  </mergeCells>
  <pageMargins left="0.7" right="0.7" top="0.75" bottom="0.75" header="0.3" footer="0.3"/>
  <pageSetup scale="5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28"/>
  <sheetViews>
    <sheetView workbookViewId="0">
      <selection activeCell="F3" sqref="F3"/>
    </sheetView>
  </sheetViews>
  <sheetFormatPr defaultRowHeight="15" x14ac:dyDescent="0.25"/>
  <cols>
    <col min="2" max="2" width="9.7109375" customWidth="1"/>
    <col min="4" max="4" width="4.140625" customWidth="1"/>
    <col min="5" max="5" width="10" bestFit="1" customWidth="1"/>
    <col min="6" max="6" width="38.5703125" customWidth="1"/>
    <col min="9" max="9" width="10.85546875" bestFit="1" customWidth="1"/>
    <col min="13" max="14" width="12.28515625" customWidth="1"/>
    <col min="15" max="15" width="13.5703125" customWidth="1"/>
  </cols>
  <sheetData>
    <row r="1" spans="1:15" x14ac:dyDescent="0.25">
      <c r="B1" t="s">
        <v>174</v>
      </c>
    </row>
    <row r="2" spans="1:15" x14ac:dyDescent="0.25">
      <c r="B2" t="s">
        <v>175</v>
      </c>
      <c r="E2" s="12">
        <v>929929743</v>
      </c>
      <c r="F2" s="11"/>
    </row>
    <row r="3" spans="1:15" x14ac:dyDescent="0.25">
      <c r="B3" t="s">
        <v>176</v>
      </c>
      <c r="D3" t="s">
        <v>80</v>
      </c>
      <c r="E3" t="s">
        <v>200</v>
      </c>
      <c r="F3" t="s">
        <v>80</v>
      </c>
      <c r="G3" t="s">
        <v>201</v>
      </c>
    </row>
    <row r="4" spans="1:15" x14ac:dyDescent="0.25">
      <c r="B4" t="s">
        <v>177</v>
      </c>
      <c r="E4" t="s">
        <v>0</v>
      </c>
    </row>
    <row r="5" spans="1:15" x14ac:dyDescent="0.25">
      <c r="B5" t="s">
        <v>178</v>
      </c>
      <c r="C5" s="113">
        <f>+Award!X6</f>
        <v>0</v>
      </c>
      <c r="E5" t="s">
        <v>179</v>
      </c>
      <c r="F5" s="113">
        <f>+Award!Y6</f>
        <v>0</v>
      </c>
      <c r="G5" s="383" t="s">
        <v>180</v>
      </c>
      <c r="H5" s="383"/>
      <c r="I5">
        <v>5</v>
      </c>
    </row>
    <row r="7" spans="1:15" x14ac:dyDescent="0.25">
      <c r="B7" s="7" t="s">
        <v>181</v>
      </c>
    </row>
    <row r="8" spans="1:15" x14ac:dyDescent="0.25">
      <c r="J8" t="s">
        <v>80</v>
      </c>
    </row>
    <row r="9" spans="1:15" s="3" customFormat="1" ht="75" x14ac:dyDescent="0.25">
      <c r="B9" s="3" t="s">
        <v>182</v>
      </c>
      <c r="C9" s="3" t="s">
        <v>183</v>
      </c>
      <c r="D9" s="3" t="s">
        <v>184</v>
      </c>
      <c r="E9" s="3" t="s">
        <v>185</v>
      </c>
      <c r="G9" s="3" t="s">
        <v>186</v>
      </c>
      <c r="H9" s="3" t="s">
        <v>6</v>
      </c>
      <c r="I9" s="3" t="s">
        <v>187</v>
      </c>
      <c r="J9" s="3" t="s">
        <v>193</v>
      </c>
      <c r="K9" s="3" t="s">
        <v>192</v>
      </c>
      <c r="L9" s="3" t="s">
        <v>188</v>
      </c>
      <c r="M9" s="3" t="s">
        <v>189</v>
      </c>
      <c r="N9" s="3" t="s">
        <v>190</v>
      </c>
      <c r="O9" s="3" t="s">
        <v>191</v>
      </c>
    </row>
    <row r="10" spans="1:15" x14ac:dyDescent="0.25">
      <c r="A10">
        <v>1</v>
      </c>
      <c r="B10" s="12"/>
      <c r="C10" s="12">
        <f>+Award!C9</f>
        <v>0</v>
      </c>
      <c r="D10" s="12" t="s">
        <v>80</v>
      </c>
      <c r="E10" s="12">
        <f>+Award!D9</f>
        <v>0</v>
      </c>
      <c r="F10" s="12"/>
      <c r="G10" s="12"/>
      <c r="H10" s="12">
        <f>+Award!F9</f>
        <v>0</v>
      </c>
      <c r="I10" s="112">
        <f>+Award!AU9</f>
        <v>0</v>
      </c>
      <c r="J10" s="12" t="str">
        <f>+IF(Award!J9=12,Award!AF9," ")</f>
        <v xml:space="preserve"> </v>
      </c>
      <c r="K10" s="111" t="str">
        <f>+IF(Award!J9&lt;12,Award!AF9," ")</f>
        <v xml:space="preserve"> </v>
      </c>
      <c r="L10" s="111" t="str">
        <f>+IF(Award!J9&lt;12,Award!Y9," ")</f>
        <v xml:space="preserve"> </v>
      </c>
      <c r="M10" s="112" t="str">
        <f>+Award!Z9</f>
        <v xml:space="preserve"> </v>
      </c>
      <c r="N10" s="112" t="str">
        <f>+Award!AL9</f>
        <v xml:space="preserve"> </v>
      </c>
      <c r="O10" s="112">
        <f>SUM(M10:N10)</f>
        <v>0</v>
      </c>
    </row>
    <row r="11" spans="1:15" x14ac:dyDescent="0.25">
      <c r="A11">
        <v>2</v>
      </c>
      <c r="B11" s="12"/>
      <c r="C11" s="12">
        <f>+Award!C10</f>
        <v>0</v>
      </c>
      <c r="D11" s="12" t="s">
        <v>80</v>
      </c>
      <c r="E11" s="12">
        <f>+Award!D10</f>
        <v>0</v>
      </c>
      <c r="F11" s="12"/>
      <c r="G11" s="12"/>
      <c r="H11" s="12">
        <f>+Award!F10</f>
        <v>0</v>
      </c>
      <c r="I11" s="112">
        <f>+Award!AU10</f>
        <v>0</v>
      </c>
      <c r="J11" s="12" t="str">
        <f>+IF(Award!J10=12,Award!AF10," ")</f>
        <v xml:space="preserve"> </v>
      </c>
      <c r="K11" s="111" t="str">
        <f>+IF(Award!J10&lt;12,Award!AF10," ")</f>
        <v xml:space="preserve"> </v>
      </c>
      <c r="L11" s="111" t="str">
        <f>+IF(Award!J10&lt;12,Award!Y10," ")</f>
        <v xml:space="preserve"> </v>
      </c>
      <c r="M11" s="112" t="str">
        <f>+Award!Z10</f>
        <v xml:space="preserve"> </v>
      </c>
      <c r="N11" s="112" t="str">
        <f>+Award!AL10</f>
        <v xml:space="preserve"> </v>
      </c>
      <c r="O11" s="112">
        <f t="shared" ref="O11:O25" si="0">SUM(M11:N11)</f>
        <v>0</v>
      </c>
    </row>
    <row r="12" spans="1:15" x14ac:dyDescent="0.25">
      <c r="A12">
        <v>3</v>
      </c>
      <c r="B12" s="12"/>
      <c r="C12" s="12">
        <f>+Award!C11</f>
        <v>0</v>
      </c>
      <c r="D12" s="12" t="s">
        <v>80</v>
      </c>
      <c r="E12" s="12">
        <f>+Award!D11</f>
        <v>0</v>
      </c>
      <c r="F12" s="12"/>
      <c r="G12" s="12"/>
      <c r="H12" s="12">
        <f>+Award!F11</f>
        <v>0</v>
      </c>
      <c r="I12" s="112">
        <f>+Award!AU11</f>
        <v>0</v>
      </c>
      <c r="J12" s="12" t="str">
        <f>+IF(Award!J11=12,Award!AF11," ")</f>
        <v xml:space="preserve"> </v>
      </c>
      <c r="K12" s="111" t="str">
        <f>+IF(Award!J11&lt;12,Award!AF11," ")</f>
        <v xml:space="preserve"> </v>
      </c>
      <c r="L12" s="111" t="str">
        <f>+IF(Award!J11&lt;12,Award!Y11," ")</f>
        <v xml:space="preserve"> </v>
      </c>
      <c r="M12" s="112" t="str">
        <f>+Award!Z11</f>
        <v xml:space="preserve"> </v>
      </c>
      <c r="N12" s="112" t="str">
        <f>+Award!AL11</f>
        <v xml:space="preserve"> </v>
      </c>
      <c r="O12" s="112">
        <f t="shared" si="0"/>
        <v>0</v>
      </c>
    </row>
    <row r="13" spans="1:15" x14ac:dyDescent="0.25">
      <c r="A13">
        <v>4</v>
      </c>
      <c r="B13" s="12"/>
      <c r="C13" s="12">
        <f>+Award!C12</f>
        <v>0</v>
      </c>
      <c r="D13" s="12" t="s">
        <v>80</v>
      </c>
      <c r="E13" s="12">
        <f>+Award!D12</f>
        <v>0</v>
      </c>
      <c r="F13" s="12"/>
      <c r="G13" s="12"/>
      <c r="H13" s="12">
        <f>+Award!F12</f>
        <v>0</v>
      </c>
      <c r="I13" s="112">
        <f>+Award!AU12</f>
        <v>0</v>
      </c>
      <c r="J13" s="12" t="str">
        <f>+IF(Award!J12=12,Award!AF12," ")</f>
        <v xml:space="preserve"> </v>
      </c>
      <c r="K13" s="111" t="str">
        <f>+IF(Award!J12&lt;12,Award!AF12," ")</f>
        <v xml:space="preserve"> </v>
      </c>
      <c r="L13" s="111" t="str">
        <f>+IF(Award!J12&lt;12,Award!Y12," ")</f>
        <v xml:space="preserve"> </v>
      </c>
      <c r="M13" s="112" t="str">
        <f>+Award!Z12</f>
        <v xml:space="preserve"> </v>
      </c>
      <c r="N13" s="112" t="str">
        <f>+Award!AL12</f>
        <v xml:space="preserve"> </v>
      </c>
      <c r="O13" s="112">
        <f t="shared" si="0"/>
        <v>0</v>
      </c>
    </row>
    <row r="14" spans="1:15" x14ac:dyDescent="0.25">
      <c r="A14">
        <v>5</v>
      </c>
      <c r="B14" s="12"/>
      <c r="C14" s="12">
        <f>+Award!C13</f>
        <v>0</v>
      </c>
      <c r="D14" s="12" t="s">
        <v>80</v>
      </c>
      <c r="E14" s="12">
        <f>+Award!D13</f>
        <v>0</v>
      </c>
      <c r="F14" s="12"/>
      <c r="G14" s="12"/>
      <c r="H14" s="12">
        <f>+Award!F13</f>
        <v>0</v>
      </c>
      <c r="I14" s="112">
        <f>+Award!AU13</f>
        <v>0</v>
      </c>
      <c r="J14" s="12" t="str">
        <f>+IF(Award!J13=12,Award!AF13," ")</f>
        <v xml:space="preserve"> </v>
      </c>
      <c r="K14" s="111" t="str">
        <f>+IF(Award!J13&lt;12,Award!AF13," ")</f>
        <v xml:space="preserve"> </v>
      </c>
      <c r="L14" s="111" t="str">
        <f>+IF(Award!J13&lt;12,Award!Y13," ")</f>
        <v xml:space="preserve"> </v>
      </c>
      <c r="M14" s="112" t="str">
        <f>+Award!Z13</f>
        <v xml:space="preserve"> </v>
      </c>
      <c r="N14" s="112" t="str">
        <f>+Award!AL13</f>
        <v xml:space="preserve"> </v>
      </c>
      <c r="O14" s="112">
        <f t="shared" si="0"/>
        <v>0</v>
      </c>
    </row>
    <row r="15" spans="1:15" x14ac:dyDescent="0.25">
      <c r="A15">
        <v>6</v>
      </c>
      <c r="B15" s="12"/>
      <c r="C15" s="12">
        <f>+Award!C14</f>
        <v>0</v>
      </c>
      <c r="D15" s="12" t="s">
        <v>80</v>
      </c>
      <c r="E15" s="12">
        <f>+Award!D14</f>
        <v>0</v>
      </c>
      <c r="F15" s="12"/>
      <c r="G15" s="12"/>
      <c r="H15" s="12">
        <f>+Award!F14</f>
        <v>0</v>
      </c>
      <c r="I15" s="112">
        <f>+Award!AU14</f>
        <v>0</v>
      </c>
      <c r="J15" s="12" t="str">
        <f>+IF(Award!J14=12,Award!AF14," ")</f>
        <v xml:space="preserve"> </v>
      </c>
      <c r="K15" s="111" t="str">
        <f>+IF(Award!J14&lt;12,Award!AF14," ")</f>
        <v xml:space="preserve"> </v>
      </c>
      <c r="L15" s="111" t="str">
        <f>+IF(Award!J14&lt;12,Award!Y14," ")</f>
        <v xml:space="preserve"> </v>
      </c>
      <c r="M15" s="112" t="str">
        <f>+Award!Z14</f>
        <v xml:space="preserve"> </v>
      </c>
      <c r="N15" s="112" t="str">
        <f>+Award!AL14</f>
        <v xml:space="preserve"> </v>
      </c>
      <c r="O15" s="112">
        <f t="shared" si="0"/>
        <v>0</v>
      </c>
    </row>
    <row r="16" spans="1:15" x14ac:dyDescent="0.25">
      <c r="A16">
        <v>7</v>
      </c>
      <c r="B16" s="12"/>
      <c r="C16" s="12">
        <f>+Award!C15</f>
        <v>0</v>
      </c>
      <c r="D16" s="12" t="s">
        <v>80</v>
      </c>
      <c r="E16" s="12">
        <f>+Award!D15</f>
        <v>0</v>
      </c>
      <c r="F16" s="12"/>
      <c r="G16" s="12"/>
      <c r="H16" s="12">
        <f>+Award!F15</f>
        <v>0</v>
      </c>
      <c r="I16" s="112">
        <f>+Award!AU15</f>
        <v>0</v>
      </c>
      <c r="J16" s="12" t="str">
        <f>+IF(Award!J15=12,Award!AF15," ")</f>
        <v xml:space="preserve"> </v>
      </c>
      <c r="K16" s="111" t="str">
        <f>+IF(Award!J15&lt;12,Award!AF15," ")</f>
        <v xml:space="preserve"> </v>
      </c>
      <c r="L16" s="111" t="str">
        <f>+IF(Award!J15&lt;12,Award!Y15," ")</f>
        <v xml:space="preserve"> </v>
      </c>
      <c r="M16" s="112" t="str">
        <f>+Award!Z15</f>
        <v xml:space="preserve"> </v>
      </c>
      <c r="N16" s="112" t="str">
        <f>+Award!AL15</f>
        <v xml:space="preserve"> </v>
      </c>
      <c r="O16" s="112">
        <f t="shared" si="0"/>
        <v>0</v>
      </c>
    </row>
    <row r="17" spans="1:17" x14ac:dyDescent="0.25">
      <c r="A17">
        <v>8</v>
      </c>
      <c r="B17" s="12"/>
      <c r="C17" s="12">
        <f>+Award!C16</f>
        <v>0</v>
      </c>
      <c r="D17" s="12" t="s">
        <v>80</v>
      </c>
      <c r="E17" s="12">
        <f>+Award!D16</f>
        <v>0</v>
      </c>
      <c r="F17" s="12"/>
      <c r="G17" s="12"/>
      <c r="H17" s="12">
        <f>+Award!F16</f>
        <v>0</v>
      </c>
      <c r="I17" s="112">
        <f>+Award!AU16</f>
        <v>0</v>
      </c>
      <c r="J17" s="12" t="str">
        <f>+IF(Award!J16=12,Award!AF16," ")</f>
        <v xml:space="preserve"> </v>
      </c>
      <c r="K17" s="111" t="str">
        <f>+IF(Award!J16&lt;12,Award!AF16," ")</f>
        <v xml:space="preserve"> </v>
      </c>
      <c r="L17" s="111" t="str">
        <f>+IF(Award!J16&lt;12,Award!Y16," ")</f>
        <v xml:space="preserve"> </v>
      </c>
      <c r="M17" s="112" t="str">
        <f>+Award!Z16</f>
        <v xml:space="preserve"> </v>
      </c>
      <c r="N17" s="112" t="str">
        <f>+Award!AL16</f>
        <v xml:space="preserve"> </v>
      </c>
      <c r="O17" s="112">
        <f t="shared" si="0"/>
        <v>0</v>
      </c>
    </row>
    <row r="18" spans="1:17" x14ac:dyDescent="0.25">
      <c r="A18">
        <v>9</v>
      </c>
      <c r="B18" s="162"/>
      <c r="C18" s="162">
        <f>+Award!C17</f>
        <v>0</v>
      </c>
      <c r="D18" s="162" t="s">
        <v>80</v>
      </c>
      <c r="E18" s="162">
        <f>+Award!D17</f>
        <v>0</v>
      </c>
      <c r="F18" s="162"/>
      <c r="G18" s="162"/>
      <c r="H18" s="162">
        <f>+Award!F17</f>
        <v>0</v>
      </c>
      <c r="I18" s="163">
        <f>+Award!AU17</f>
        <v>0</v>
      </c>
      <c r="J18" s="12" t="str">
        <f>+IF(Award!J17=12,Award!AF17," ")</f>
        <v xml:space="preserve"> </v>
      </c>
      <c r="K18" s="111" t="str">
        <f>+IF(Award!J17&lt;12,Award!AF17," ")</f>
        <v xml:space="preserve"> </v>
      </c>
      <c r="L18" s="111" t="str">
        <f>+IF(Award!J17&lt;12,Award!Y17," ")</f>
        <v xml:space="preserve"> </v>
      </c>
      <c r="M18" s="163" t="str">
        <f>+Award!Z17</f>
        <v xml:space="preserve"> </v>
      </c>
      <c r="N18" s="163" t="str">
        <f>+Award!AL17</f>
        <v xml:space="preserve"> </v>
      </c>
      <c r="O18" s="163">
        <f t="shared" si="0"/>
        <v>0</v>
      </c>
    </row>
    <row r="19" spans="1:17" x14ac:dyDescent="0.25">
      <c r="A19">
        <v>10</v>
      </c>
      <c r="B19" s="162"/>
      <c r="C19" s="162">
        <f>+Award!C18</f>
        <v>0</v>
      </c>
      <c r="D19" s="162" t="s">
        <v>80</v>
      </c>
      <c r="E19" s="162">
        <f>+Award!D18</f>
        <v>0</v>
      </c>
      <c r="F19" s="162"/>
      <c r="G19" s="162"/>
      <c r="H19" s="162">
        <f>+Award!F18</f>
        <v>0</v>
      </c>
      <c r="I19" s="163">
        <f>+Award!AU18</f>
        <v>0</v>
      </c>
      <c r="J19" s="12" t="str">
        <f>+IF(Award!J18=12,Award!AF18," ")</f>
        <v xml:space="preserve"> </v>
      </c>
      <c r="K19" s="111" t="str">
        <f>+IF(Award!J18&lt;12,Award!AF18," ")</f>
        <v xml:space="preserve"> </v>
      </c>
      <c r="L19" s="111" t="str">
        <f>+IF(Award!J18&lt;12,Award!Y18," ")</f>
        <v xml:space="preserve"> </v>
      </c>
      <c r="M19" s="163" t="str">
        <f>+Award!Z18</f>
        <v xml:space="preserve"> </v>
      </c>
      <c r="N19" s="163" t="str">
        <f>+Award!AL18</f>
        <v xml:space="preserve"> </v>
      </c>
      <c r="O19" s="163">
        <f t="shared" si="0"/>
        <v>0</v>
      </c>
    </row>
    <row r="20" spans="1:17" x14ac:dyDescent="0.25">
      <c r="A20">
        <v>11</v>
      </c>
      <c r="B20" s="162"/>
      <c r="C20" s="162">
        <f>+Award!C19</f>
        <v>0</v>
      </c>
      <c r="D20" s="162" t="s">
        <v>80</v>
      </c>
      <c r="E20" s="162">
        <f>+Award!D19</f>
        <v>0</v>
      </c>
      <c r="F20" s="162"/>
      <c r="G20" s="162"/>
      <c r="H20" s="162">
        <f>+Award!F19</f>
        <v>0</v>
      </c>
      <c r="I20" s="163">
        <f>+Award!AU19</f>
        <v>0</v>
      </c>
      <c r="J20" s="12" t="str">
        <f>+IF(Award!J19=12,Award!AF19," ")</f>
        <v xml:space="preserve"> </v>
      </c>
      <c r="K20" s="111" t="str">
        <f>+IF(Award!J19&lt;12,Award!AF19," ")</f>
        <v xml:space="preserve"> </v>
      </c>
      <c r="L20" s="111" t="str">
        <f>+IF(Award!J19&lt;12,Award!Y19," ")</f>
        <v xml:space="preserve"> </v>
      </c>
      <c r="M20" s="163" t="str">
        <f>+Award!Z19</f>
        <v xml:space="preserve"> </v>
      </c>
      <c r="N20" s="163" t="str">
        <f>+Award!AL19</f>
        <v xml:space="preserve"> </v>
      </c>
      <c r="O20" s="163">
        <f t="shared" si="0"/>
        <v>0</v>
      </c>
    </row>
    <row r="21" spans="1:17" x14ac:dyDescent="0.25">
      <c r="A21">
        <v>12</v>
      </c>
      <c r="B21" s="162"/>
      <c r="C21" s="162">
        <f>+Award!C20</f>
        <v>0</v>
      </c>
      <c r="D21" s="162" t="s">
        <v>80</v>
      </c>
      <c r="E21" s="162">
        <f>+Award!D20</f>
        <v>0</v>
      </c>
      <c r="F21" s="162"/>
      <c r="G21" s="162"/>
      <c r="H21" s="162">
        <f>+Award!F20</f>
        <v>0</v>
      </c>
      <c r="I21" s="163">
        <f>+Award!AU20</f>
        <v>0</v>
      </c>
      <c r="J21" s="12" t="str">
        <f>+IF(Award!J20=12,Award!AF20," ")</f>
        <v xml:space="preserve"> </v>
      </c>
      <c r="K21" s="111" t="str">
        <f>+IF(Award!J20&lt;12,Award!AF20," ")</f>
        <v xml:space="preserve"> </v>
      </c>
      <c r="L21" s="111" t="str">
        <f>+IF(Award!J20&lt;12,Award!Y20," ")</f>
        <v xml:space="preserve"> </v>
      </c>
      <c r="M21" s="163" t="str">
        <f>+Award!Z20</f>
        <v xml:space="preserve"> </v>
      </c>
      <c r="N21" s="163" t="str">
        <f>+Award!AL20</f>
        <v xml:space="preserve"> </v>
      </c>
      <c r="O21" s="163">
        <f t="shared" si="0"/>
        <v>0</v>
      </c>
    </row>
    <row r="22" spans="1:17" x14ac:dyDescent="0.25">
      <c r="A22">
        <v>13</v>
      </c>
      <c r="B22" s="162"/>
      <c r="C22" s="162">
        <f>+Award!C21</f>
        <v>0</v>
      </c>
      <c r="D22" s="162" t="s">
        <v>80</v>
      </c>
      <c r="E22" s="162">
        <f>+Award!D21</f>
        <v>0</v>
      </c>
      <c r="F22" s="162"/>
      <c r="G22" s="162"/>
      <c r="H22" s="162">
        <f>+Award!F21</f>
        <v>0</v>
      </c>
      <c r="I22" s="163">
        <f>+Award!AU21</f>
        <v>0</v>
      </c>
      <c r="J22" s="12" t="str">
        <f>+IF(Award!J21=12,Award!AF21," ")</f>
        <v xml:space="preserve"> </v>
      </c>
      <c r="K22" s="111" t="str">
        <f>+IF(Award!J21&lt;12,Award!AF21," ")</f>
        <v xml:space="preserve"> </v>
      </c>
      <c r="L22" s="111" t="str">
        <f>+IF(Award!J21&lt;12,Award!Y21," ")</f>
        <v xml:space="preserve"> </v>
      </c>
      <c r="M22" s="163" t="str">
        <f>+Award!Z21</f>
        <v xml:space="preserve"> </v>
      </c>
      <c r="N22" s="163" t="str">
        <f>+Award!AL21</f>
        <v xml:space="preserve"> </v>
      </c>
      <c r="O22" s="163">
        <f t="shared" si="0"/>
        <v>0</v>
      </c>
    </row>
    <row r="23" spans="1:17" x14ac:dyDescent="0.25">
      <c r="A23">
        <v>14</v>
      </c>
      <c r="B23" s="162"/>
      <c r="C23" s="162">
        <f>+Award!C22</f>
        <v>0</v>
      </c>
      <c r="D23" s="162" t="s">
        <v>80</v>
      </c>
      <c r="E23" s="162">
        <f>+Award!D22</f>
        <v>0</v>
      </c>
      <c r="F23" s="162"/>
      <c r="G23" s="162"/>
      <c r="H23" s="162">
        <f>+Award!F22</f>
        <v>0</v>
      </c>
      <c r="I23" s="163">
        <f>+Award!AU22</f>
        <v>0</v>
      </c>
      <c r="J23" s="12" t="str">
        <f>+IF(Award!J22=12,Award!AF22," ")</f>
        <v xml:space="preserve"> </v>
      </c>
      <c r="K23" s="111" t="str">
        <f>+IF(Award!J22&lt;12,Award!AF22," ")</f>
        <v xml:space="preserve"> </v>
      </c>
      <c r="L23" s="111" t="str">
        <f>+IF(Award!J22&lt;12,Award!Y22," ")</f>
        <v xml:space="preserve"> </v>
      </c>
      <c r="M23" s="163" t="str">
        <f>+Award!Z22</f>
        <v xml:space="preserve"> </v>
      </c>
      <c r="N23" s="163" t="str">
        <f>+Award!AL22</f>
        <v xml:space="preserve"> </v>
      </c>
      <c r="O23" s="163">
        <f t="shared" si="0"/>
        <v>0</v>
      </c>
    </row>
    <row r="24" spans="1:17" x14ac:dyDescent="0.25">
      <c r="A24">
        <v>15</v>
      </c>
      <c r="B24" s="162"/>
      <c r="C24" s="162">
        <f>+Award!C23</f>
        <v>0</v>
      </c>
      <c r="D24" s="162" t="s">
        <v>80</v>
      </c>
      <c r="E24" s="162">
        <f>+Award!D23</f>
        <v>0</v>
      </c>
      <c r="F24" s="162"/>
      <c r="G24" s="162"/>
      <c r="H24" s="162">
        <f>+Award!F23</f>
        <v>0</v>
      </c>
      <c r="I24" s="163">
        <f>+Award!AU23</f>
        <v>0</v>
      </c>
      <c r="J24" s="12" t="str">
        <f>+IF(Award!J23=12,Award!AF23," ")</f>
        <v xml:space="preserve"> </v>
      </c>
      <c r="K24" s="111" t="str">
        <f>+IF(Award!J23&lt;12,Award!AF23," ")</f>
        <v xml:space="preserve"> </v>
      </c>
      <c r="L24" s="111" t="str">
        <f>+IF(Award!J23&lt;12,Award!Y23," ")</f>
        <v xml:space="preserve"> </v>
      </c>
      <c r="M24" s="163" t="str">
        <f>+Award!Z23</f>
        <v xml:space="preserve"> </v>
      </c>
      <c r="N24" s="163" t="str">
        <f>+Award!AL23</f>
        <v xml:space="preserve"> </v>
      </c>
      <c r="O24" s="163">
        <f t="shared" si="0"/>
        <v>0</v>
      </c>
    </row>
    <row r="25" spans="1:17" x14ac:dyDescent="0.25">
      <c r="A25">
        <v>16</v>
      </c>
      <c r="B25" s="162"/>
      <c r="C25" s="162">
        <f>+Award!C24</f>
        <v>0</v>
      </c>
      <c r="D25" s="162" t="s">
        <v>80</v>
      </c>
      <c r="E25" s="162">
        <f>+Award!D24</f>
        <v>0</v>
      </c>
      <c r="F25" s="162"/>
      <c r="G25" s="162"/>
      <c r="H25" s="162">
        <f>+Award!F24</f>
        <v>0</v>
      </c>
      <c r="I25" s="163">
        <f>+Award!AU24</f>
        <v>0</v>
      </c>
      <c r="J25" s="12" t="str">
        <f>+IF(Award!J24=12,Award!AF24," ")</f>
        <v xml:space="preserve"> </v>
      </c>
      <c r="K25" s="111" t="str">
        <f>+IF(Award!J24&lt;12,Award!AF24," ")</f>
        <v xml:space="preserve"> </v>
      </c>
      <c r="L25" s="111" t="str">
        <f>+IF(Award!J24&lt;12,Award!Y24," ")</f>
        <v xml:space="preserve"> </v>
      </c>
      <c r="M25" s="163" t="str">
        <f>+Award!Z24</f>
        <v xml:space="preserve"> </v>
      </c>
      <c r="N25" s="163" t="str">
        <f>+Award!AL24</f>
        <v xml:space="preserve"> </v>
      </c>
      <c r="O25" s="163">
        <f t="shared" si="0"/>
        <v>0</v>
      </c>
    </row>
    <row r="26" spans="1:17" x14ac:dyDescent="0.25">
      <c r="B26" t="s">
        <v>199</v>
      </c>
      <c r="M26" s="50"/>
      <c r="N26" s="50"/>
      <c r="O26" s="112" t="s">
        <v>80</v>
      </c>
    </row>
    <row r="27" spans="1:17" x14ac:dyDescent="0.25">
      <c r="M27" s="50"/>
      <c r="N27" s="50"/>
      <c r="O27" s="112">
        <f>IF(Award!S4&gt;4,SUM(O10:O26),0)</f>
        <v>0</v>
      </c>
      <c r="Q27" t="str">
        <f>+IF(O27=Award!Z25+Award!Z39," ", "Does not equal budget")</f>
        <v xml:space="preserve"> </v>
      </c>
    </row>
    <row r="29" spans="1:17" x14ac:dyDescent="0.25">
      <c r="B29" t="s">
        <v>202</v>
      </c>
    </row>
    <row r="32" spans="1:17" x14ac:dyDescent="0.25">
      <c r="B32" s="7" t="s">
        <v>203</v>
      </c>
    </row>
    <row r="33" spans="2:17" s="110" customFormat="1" ht="60" x14ac:dyDescent="0.25">
      <c r="B33" s="110" t="s">
        <v>204</v>
      </c>
      <c r="F33" s="3" t="s">
        <v>6</v>
      </c>
      <c r="J33" s="3" t="s">
        <v>193</v>
      </c>
      <c r="K33" s="3" t="s">
        <v>192</v>
      </c>
      <c r="L33" s="3" t="s">
        <v>188</v>
      </c>
      <c r="M33" s="3" t="s">
        <v>189</v>
      </c>
      <c r="N33" s="3" t="s">
        <v>190</v>
      </c>
      <c r="O33" s="3" t="s">
        <v>191</v>
      </c>
    </row>
    <row r="34" spans="2:17" x14ac:dyDescent="0.25">
      <c r="B34" s="12">
        <f>+Award!C28</f>
        <v>0</v>
      </c>
      <c r="F34" t="s">
        <v>205</v>
      </c>
      <c r="J34" s="116" t="str">
        <f>+Award!AF28</f>
        <v xml:space="preserve"> </v>
      </c>
      <c r="K34" s="12"/>
      <c r="L34" s="12"/>
      <c r="M34" s="112" t="str">
        <f>+Award!Z28</f>
        <v xml:space="preserve"> </v>
      </c>
      <c r="N34" s="112" t="str">
        <f>+Award!AL28</f>
        <v xml:space="preserve"> </v>
      </c>
      <c r="O34" s="112" t="e">
        <f>+M34+N34</f>
        <v>#VALUE!</v>
      </c>
    </row>
    <row r="35" spans="2:17" x14ac:dyDescent="0.25">
      <c r="B35" s="12">
        <f>+Award!C30+Award!C31</f>
        <v>0</v>
      </c>
      <c r="F35" t="s">
        <v>39</v>
      </c>
      <c r="J35" s="116" t="e">
        <f>+Award!AF30+Award!AF31</f>
        <v>#VALUE!</v>
      </c>
      <c r="K35" s="12"/>
      <c r="L35" s="12"/>
      <c r="M35" s="112" t="e">
        <f>+Award!Z30+Award!Z31</f>
        <v>#VALUE!</v>
      </c>
      <c r="N35" s="112" t="e">
        <f>+Award!AL30+Award!AL31</f>
        <v>#VALUE!</v>
      </c>
      <c r="O35" s="112" t="e">
        <f>+M35+N35</f>
        <v>#VALUE!</v>
      </c>
    </row>
    <row r="36" spans="2:17" x14ac:dyDescent="0.25">
      <c r="B36" s="12">
        <f>+Award!C32</f>
        <v>0</v>
      </c>
      <c r="F36" t="s">
        <v>206</v>
      </c>
      <c r="J36" s="116">
        <f>+Award!AF32</f>
        <v>0</v>
      </c>
      <c r="K36" s="12"/>
      <c r="L36" s="12"/>
      <c r="M36" s="112" t="str">
        <f>+Award!Z32</f>
        <v xml:space="preserve"> </v>
      </c>
      <c r="N36" s="112" t="b">
        <f>+Award!AL32</f>
        <v>0</v>
      </c>
      <c r="O36" s="112" t="e">
        <f>+M36+N36</f>
        <v>#VALUE!</v>
      </c>
    </row>
    <row r="37" spans="2:17" x14ac:dyDescent="0.25">
      <c r="B37" s="12"/>
      <c r="F37" t="s">
        <v>207</v>
      </c>
      <c r="J37" s="12"/>
      <c r="K37" s="12"/>
      <c r="L37" s="12"/>
      <c r="M37" s="112"/>
      <c r="N37" s="112"/>
      <c r="O37" s="112"/>
    </row>
    <row r="38" spans="2:17" x14ac:dyDescent="0.25">
      <c r="B38" s="12">
        <f>+Award!C29</f>
        <v>0</v>
      </c>
      <c r="F38" s="12"/>
      <c r="J38" s="116" t="str">
        <f>+Award!AF29</f>
        <v xml:space="preserve"> </v>
      </c>
      <c r="K38" s="12"/>
      <c r="L38" s="12"/>
      <c r="M38" s="112" t="str">
        <f>+Award!Z29</f>
        <v xml:space="preserve"> </v>
      </c>
      <c r="N38" s="112" t="str">
        <f>+Award!AL29</f>
        <v xml:space="preserve"> </v>
      </c>
      <c r="O38" s="112" t="e">
        <f t="shared" ref="O38:O43" si="1">+M38+N38</f>
        <v>#VALUE!</v>
      </c>
    </row>
    <row r="39" spans="2:17" x14ac:dyDescent="0.25">
      <c r="B39" s="12">
        <f>+Award!C33</f>
        <v>0</v>
      </c>
      <c r="F39" s="12"/>
      <c r="J39" s="116" t="str">
        <f>+Award!AF33</f>
        <v xml:space="preserve"> </v>
      </c>
      <c r="K39" s="12"/>
      <c r="L39" s="12"/>
      <c r="M39" s="112" t="str">
        <f>+Award!Z33</f>
        <v xml:space="preserve"> </v>
      </c>
      <c r="N39" s="112" t="str">
        <f>+Award!AL33</f>
        <v xml:space="preserve"> </v>
      </c>
      <c r="O39" s="112" t="e">
        <f t="shared" si="1"/>
        <v>#VALUE!</v>
      </c>
    </row>
    <row r="40" spans="2:17" x14ac:dyDescent="0.25">
      <c r="B40" s="12"/>
      <c r="F40" s="12"/>
      <c r="J40" s="12"/>
      <c r="K40" s="12"/>
      <c r="L40" s="12"/>
      <c r="M40" s="112"/>
      <c r="N40" s="112"/>
      <c r="O40" s="112">
        <f t="shared" si="1"/>
        <v>0</v>
      </c>
    </row>
    <row r="41" spans="2:17" x14ac:dyDescent="0.25">
      <c r="B41" s="12"/>
      <c r="F41" s="12"/>
      <c r="J41" s="12"/>
      <c r="K41" s="12"/>
      <c r="L41" s="12"/>
      <c r="M41" s="112"/>
      <c r="N41" s="112"/>
      <c r="O41" s="112">
        <f t="shared" si="1"/>
        <v>0</v>
      </c>
    </row>
    <row r="42" spans="2:17" x14ac:dyDescent="0.25">
      <c r="B42" s="12"/>
      <c r="F42" s="12"/>
      <c r="J42" s="12"/>
      <c r="K42" s="12"/>
      <c r="L42" s="12"/>
      <c r="M42" s="112"/>
      <c r="N42" s="112"/>
      <c r="O42" s="112">
        <f t="shared" si="1"/>
        <v>0</v>
      </c>
    </row>
    <row r="43" spans="2:17" x14ac:dyDescent="0.25">
      <c r="B43" s="12"/>
      <c r="F43" s="12"/>
      <c r="J43" s="12"/>
      <c r="K43" s="12"/>
      <c r="L43" s="12"/>
      <c r="M43" s="112"/>
      <c r="N43" s="112"/>
      <c r="O43" s="112">
        <f t="shared" si="1"/>
        <v>0</v>
      </c>
    </row>
    <row r="44" spans="2:17" x14ac:dyDescent="0.25">
      <c r="B44" s="12">
        <f>IF(Award!S4&gt;4,SUM(B34:B43),0)</f>
        <v>0</v>
      </c>
      <c r="F44" t="s">
        <v>208</v>
      </c>
      <c r="M44" s="50"/>
      <c r="N44" s="117" t="s">
        <v>91</v>
      </c>
      <c r="O44" s="112">
        <f>IF(Award!S4&gt;4,SUM(O34:O43),0)</f>
        <v>0</v>
      </c>
      <c r="Q44" t="str">
        <f>+IF(O44=Award!Z34+Award!Z40," ","Does not equal budget")</f>
        <v xml:space="preserve"> </v>
      </c>
    </row>
    <row r="45" spans="2:17" x14ac:dyDescent="0.25">
      <c r="M45" s="50"/>
      <c r="N45" s="117" t="s">
        <v>209</v>
      </c>
      <c r="O45" s="118">
        <f>+O44+O27</f>
        <v>0</v>
      </c>
      <c r="Q45" t="s">
        <v>80</v>
      </c>
    </row>
    <row r="48" spans="2:17" x14ac:dyDescent="0.25">
      <c r="B48" t="s">
        <v>175</v>
      </c>
      <c r="E48" s="12">
        <v>929929743</v>
      </c>
      <c r="F48" s="11"/>
    </row>
    <row r="49" spans="1:15" x14ac:dyDescent="0.25">
      <c r="B49" t="s">
        <v>176</v>
      </c>
      <c r="D49" t="s">
        <v>80</v>
      </c>
      <c r="E49" t="s">
        <v>200</v>
      </c>
      <c r="F49" t="s">
        <v>80</v>
      </c>
      <c r="G49" t="s">
        <v>201</v>
      </c>
    </row>
    <row r="50" spans="1:15" x14ac:dyDescent="0.25">
      <c r="B50" t="s">
        <v>177</v>
      </c>
      <c r="E50" t="s">
        <v>0</v>
      </c>
    </row>
    <row r="51" spans="1:15" x14ac:dyDescent="0.25">
      <c r="B51" t="s">
        <v>178</v>
      </c>
      <c r="C51" s="113">
        <f>+C5</f>
        <v>0</v>
      </c>
      <c r="E51" t="s">
        <v>179</v>
      </c>
      <c r="F51" s="113">
        <f>+F5</f>
        <v>0</v>
      </c>
      <c r="G51" s="383" t="s">
        <v>180</v>
      </c>
      <c r="H51" s="383"/>
      <c r="I51">
        <f>+I5</f>
        <v>5</v>
      </c>
    </row>
    <row r="53" spans="1:15" x14ac:dyDescent="0.25">
      <c r="B53" s="7" t="s">
        <v>210</v>
      </c>
    </row>
    <row r="54" spans="1:15" x14ac:dyDescent="0.25">
      <c r="B54" s="7" t="s">
        <v>211</v>
      </c>
    </row>
    <row r="55" spans="1:15" x14ac:dyDescent="0.25">
      <c r="E55" t="s">
        <v>212</v>
      </c>
      <c r="G55" s="121" t="s">
        <v>261</v>
      </c>
      <c r="H55" s="121"/>
      <c r="I55" s="121"/>
      <c r="O55" s="114" t="s">
        <v>213</v>
      </c>
    </row>
    <row r="56" spans="1:15" x14ac:dyDescent="0.25">
      <c r="A56">
        <v>1</v>
      </c>
      <c r="B56" s="384"/>
      <c r="C56" s="385"/>
      <c r="D56" s="385"/>
      <c r="E56" s="385"/>
      <c r="F56" s="385"/>
      <c r="G56" s="385"/>
      <c r="H56" s="385"/>
      <c r="I56" s="385"/>
      <c r="J56" s="385"/>
      <c r="K56" s="385"/>
      <c r="L56" s="385"/>
      <c r="M56" s="386"/>
      <c r="O56" s="112"/>
    </row>
    <row r="57" spans="1:15" x14ac:dyDescent="0.25">
      <c r="A57">
        <v>2</v>
      </c>
      <c r="B57" s="384"/>
      <c r="C57" s="385"/>
      <c r="D57" s="385"/>
      <c r="E57" s="385"/>
      <c r="F57" s="385"/>
      <c r="G57" s="385"/>
      <c r="H57" s="385"/>
      <c r="I57" s="385"/>
      <c r="J57" s="385"/>
      <c r="K57" s="385"/>
      <c r="L57" s="385"/>
      <c r="M57" s="386"/>
      <c r="O57" s="112"/>
    </row>
    <row r="58" spans="1:15" x14ac:dyDescent="0.25">
      <c r="A58">
        <v>3</v>
      </c>
      <c r="B58" s="384"/>
      <c r="C58" s="385"/>
      <c r="D58" s="385"/>
      <c r="E58" s="385"/>
      <c r="F58" s="385"/>
      <c r="G58" s="385"/>
      <c r="H58" s="385"/>
      <c r="I58" s="385"/>
      <c r="J58" s="385"/>
      <c r="K58" s="385"/>
      <c r="L58" s="385"/>
      <c r="M58" s="386"/>
      <c r="O58" s="112"/>
    </row>
    <row r="59" spans="1:15" x14ac:dyDescent="0.25">
      <c r="A59">
        <v>4</v>
      </c>
      <c r="B59" s="384"/>
      <c r="C59" s="385"/>
      <c r="D59" s="385"/>
      <c r="E59" s="385"/>
      <c r="F59" s="385"/>
      <c r="G59" s="385"/>
      <c r="H59" s="385"/>
      <c r="I59" s="385"/>
      <c r="J59" s="385"/>
      <c r="K59" s="385"/>
      <c r="L59" s="385"/>
      <c r="M59" s="386"/>
      <c r="O59" s="112"/>
    </row>
    <row r="60" spans="1:15" x14ac:dyDescent="0.25">
      <c r="A60">
        <v>5</v>
      </c>
      <c r="B60" s="384"/>
      <c r="C60" s="385"/>
      <c r="D60" s="385"/>
      <c r="E60" s="385"/>
      <c r="F60" s="385"/>
      <c r="G60" s="385"/>
      <c r="H60" s="385"/>
      <c r="I60" s="385"/>
      <c r="J60" s="385"/>
      <c r="K60" s="385"/>
      <c r="L60" s="385"/>
      <c r="M60" s="386"/>
      <c r="O60" s="112"/>
    </row>
    <row r="61" spans="1:15" x14ac:dyDescent="0.25">
      <c r="A61">
        <v>6</v>
      </c>
      <c r="B61" s="384"/>
      <c r="C61" s="385"/>
      <c r="D61" s="385"/>
      <c r="E61" s="385"/>
      <c r="F61" s="385"/>
      <c r="G61" s="385"/>
      <c r="H61" s="385"/>
      <c r="I61" s="385"/>
      <c r="J61" s="385"/>
      <c r="K61" s="385"/>
      <c r="L61" s="385"/>
      <c r="M61" s="386"/>
      <c r="O61" s="112"/>
    </row>
    <row r="62" spans="1:15" x14ac:dyDescent="0.25">
      <c r="A62">
        <v>7</v>
      </c>
      <c r="B62" s="384"/>
      <c r="C62" s="385"/>
      <c r="D62" s="385"/>
      <c r="E62" s="385"/>
      <c r="F62" s="385"/>
      <c r="G62" s="385"/>
      <c r="H62" s="385"/>
      <c r="I62" s="385"/>
      <c r="J62" s="385"/>
      <c r="K62" s="385"/>
      <c r="L62" s="385"/>
      <c r="M62" s="386"/>
      <c r="O62" s="112"/>
    </row>
    <row r="63" spans="1:15" x14ac:dyDescent="0.25">
      <c r="A63">
        <v>8</v>
      </c>
      <c r="B63" s="384"/>
      <c r="C63" s="385"/>
      <c r="D63" s="385"/>
      <c r="E63" s="385"/>
      <c r="F63" s="385"/>
      <c r="G63" s="385"/>
      <c r="H63" s="385"/>
      <c r="I63" s="385"/>
      <c r="J63" s="385"/>
      <c r="K63" s="385"/>
      <c r="L63" s="385"/>
      <c r="M63" s="386"/>
      <c r="O63" s="112"/>
    </row>
    <row r="64" spans="1:15" x14ac:dyDescent="0.25">
      <c r="A64">
        <v>9</v>
      </c>
      <c r="B64" s="384"/>
      <c r="C64" s="385"/>
      <c r="D64" s="385"/>
      <c r="E64" s="385"/>
      <c r="F64" s="385"/>
      <c r="G64" s="385"/>
      <c r="H64" s="385"/>
      <c r="I64" s="385"/>
      <c r="J64" s="385"/>
      <c r="K64" s="385"/>
      <c r="L64" s="385"/>
      <c r="M64" s="386"/>
      <c r="O64" s="112"/>
    </row>
    <row r="65" spans="1:15" x14ac:dyDescent="0.25">
      <c r="A65">
        <v>10</v>
      </c>
      <c r="B65" s="384"/>
      <c r="C65" s="385"/>
      <c r="D65" s="385"/>
      <c r="E65" s="385"/>
      <c r="F65" s="385"/>
      <c r="G65" s="385"/>
      <c r="H65" s="385"/>
      <c r="I65" s="385"/>
      <c r="J65" s="385"/>
      <c r="K65" s="385"/>
      <c r="L65" s="385"/>
      <c r="M65" s="386"/>
      <c r="O65" s="112"/>
    </row>
    <row r="66" spans="1:15" x14ac:dyDescent="0.25">
      <c r="A66">
        <v>11</v>
      </c>
      <c r="B66" t="s">
        <v>214</v>
      </c>
      <c r="O66" s="112">
        <f>IF(Award!S4&gt;4,SUM(O56:O65),0)</f>
        <v>0</v>
      </c>
    </row>
    <row r="69" spans="1:15" x14ac:dyDescent="0.25">
      <c r="B69" t="s">
        <v>215</v>
      </c>
      <c r="E69" s="387"/>
      <c r="F69" s="388"/>
      <c r="G69" s="388"/>
      <c r="H69" s="388"/>
      <c r="I69" s="388"/>
      <c r="J69" s="388"/>
      <c r="K69" s="388"/>
      <c r="L69" s="389"/>
    </row>
    <row r="72" spans="1:15" x14ac:dyDescent="0.25">
      <c r="B72" s="7" t="s">
        <v>216</v>
      </c>
      <c r="O72" s="114" t="s">
        <v>213</v>
      </c>
    </row>
    <row r="73" spans="1:15" x14ac:dyDescent="0.25">
      <c r="A73">
        <v>1</v>
      </c>
      <c r="B73" t="s">
        <v>217</v>
      </c>
      <c r="O73" s="112">
        <f>+IF(Award!S4&gt;4,Award!Z49,0)</f>
        <v>0</v>
      </c>
    </row>
    <row r="74" spans="1:15" x14ac:dyDescent="0.25">
      <c r="A74">
        <v>2</v>
      </c>
      <c r="B74" t="s">
        <v>218</v>
      </c>
      <c r="O74" s="112">
        <f>+IF(Award!S4&gt;4,Award!Z50,0)</f>
        <v>0</v>
      </c>
    </row>
    <row r="75" spans="1:15" x14ac:dyDescent="0.25">
      <c r="N75" s="30" t="s">
        <v>219</v>
      </c>
      <c r="O75" s="112">
        <f>SUM(O73:O74)</f>
        <v>0</v>
      </c>
    </row>
    <row r="76" spans="1:15" x14ac:dyDescent="0.25">
      <c r="O76" s="119"/>
    </row>
    <row r="77" spans="1:15" x14ac:dyDescent="0.25">
      <c r="B77" s="7" t="s">
        <v>220</v>
      </c>
      <c r="O77" s="120" t="s">
        <v>213</v>
      </c>
    </row>
    <row r="78" spans="1:15" x14ac:dyDescent="0.25">
      <c r="A78">
        <v>1</v>
      </c>
      <c r="B78" t="s">
        <v>221</v>
      </c>
      <c r="O78" s="112">
        <v>0</v>
      </c>
    </row>
    <row r="79" spans="1:15" x14ac:dyDescent="0.25">
      <c r="A79">
        <v>2</v>
      </c>
      <c r="B79" t="s">
        <v>57</v>
      </c>
      <c r="O79" s="112">
        <f>+IF(Award!S4&gt;4,Award!Z54,0)</f>
        <v>0</v>
      </c>
    </row>
    <row r="80" spans="1:15" x14ac:dyDescent="0.25">
      <c r="A80">
        <v>3</v>
      </c>
      <c r="B80" t="s">
        <v>52</v>
      </c>
      <c r="O80" s="112">
        <f>+IF(Award!S4&gt;4,Award!Z55,0)</f>
        <v>0</v>
      </c>
    </row>
    <row r="81" spans="1:15" x14ac:dyDescent="0.25">
      <c r="A81">
        <v>4</v>
      </c>
      <c r="B81" t="s">
        <v>58</v>
      </c>
      <c r="O81" s="112">
        <f>+IF(Award!S4&gt;4,Award!Z56,0)</f>
        <v>0</v>
      </c>
    </row>
    <row r="82" spans="1:15" x14ac:dyDescent="0.25">
      <c r="A82">
        <v>5</v>
      </c>
      <c r="B82" t="s">
        <v>59</v>
      </c>
      <c r="C82" s="387"/>
      <c r="D82" s="388"/>
      <c r="E82" s="388"/>
      <c r="F82" s="388"/>
      <c r="G82" s="388"/>
      <c r="H82" s="388"/>
      <c r="I82" s="388"/>
      <c r="J82" s="388"/>
      <c r="K82" s="388"/>
      <c r="L82" s="389"/>
      <c r="O82" s="112">
        <f>+IF(Award!S4&gt;4,Award!Z57,0)</f>
        <v>0</v>
      </c>
    </row>
    <row r="83" spans="1:15" x14ac:dyDescent="0.25">
      <c r="A83" s="12"/>
      <c r="B83" t="s">
        <v>222</v>
      </c>
      <c r="N83" s="114" t="s">
        <v>223</v>
      </c>
      <c r="O83" s="112">
        <f>SUM(O78:O82)</f>
        <v>0</v>
      </c>
    </row>
    <row r="84" spans="1:15" x14ac:dyDescent="0.25">
      <c r="O84" s="119"/>
    </row>
    <row r="85" spans="1:15" x14ac:dyDescent="0.25">
      <c r="O85" s="119"/>
    </row>
    <row r="86" spans="1:15" x14ac:dyDescent="0.25">
      <c r="B86" t="s">
        <v>175</v>
      </c>
      <c r="E86" s="12">
        <v>929929743</v>
      </c>
      <c r="F86" s="11"/>
      <c r="O86" s="119"/>
    </row>
    <row r="87" spans="1:15" x14ac:dyDescent="0.25">
      <c r="B87" t="s">
        <v>176</v>
      </c>
      <c r="D87" t="s">
        <v>80</v>
      </c>
      <c r="E87" t="s">
        <v>200</v>
      </c>
      <c r="F87" t="s">
        <v>80</v>
      </c>
      <c r="G87" t="s">
        <v>201</v>
      </c>
      <c r="O87" s="119"/>
    </row>
    <row r="88" spans="1:15" x14ac:dyDescent="0.25">
      <c r="B88" t="s">
        <v>177</v>
      </c>
      <c r="E88" t="s">
        <v>0</v>
      </c>
      <c r="O88" s="119"/>
    </row>
    <row r="89" spans="1:15" x14ac:dyDescent="0.25">
      <c r="B89" t="s">
        <v>178</v>
      </c>
      <c r="C89" s="113">
        <f>+C51</f>
        <v>0</v>
      </c>
      <c r="E89" t="s">
        <v>179</v>
      </c>
      <c r="F89" s="113">
        <f>+F51</f>
        <v>0</v>
      </c>
      <c r="G89" s="383" t="s">
        <v>180</v>
      </c>
      <c r="H89" s="383"/>
      <c r="I89">
        <f>+I51</f>
        <v>5</v>
      </c>
      <c r="O89" s="119"/>
    </row>
    <row r="90" spans="1:15" x14ac:dyDescent="0.25">
      <c r="O90" s="119"/>
    </row>
    <row r="91" spans="1:15" x14ac:dyDescent="0.25">
      <c r="B91" s="7" t="s">
        <v>224</v>
      </c>
      <c r="O91" s="120" t="s">
        <v>213</v>
      </c>
    </row>
    <row r="92" spans="1:15" x14ac:dyDescent="0.25">
      <c r="A92">
        <v>1</v>
      </c>
      <c r="B92" t="s">
        <v>225</v>
      </c>
      <c r="O92" s="112">
        <f>+IF(Award!S4&gt;4,Award!Z61,0)</f>
        <v>0</v>
      </c>
    </row>
    <row r="93" spans="1:15" x14ac:dyDescent="0.25">
      <c r="A93">
        <v>2</v>
      </c>
      <c r="B93" t="s">
        <v>65</v>
      </c>
      <c r="O93" s="112">
        <f>+IF(Award!S4&gt;4,Award!Z62,0)</f>
        <v>0</v>
      </c>
    </row>
    <row r="94" spans="1:15" x14ac:dyDescent="0.25">
      <c r="A94">
        <v>3</v>
      </c>
      <c r="B94" t="s">
        <v>226</v>
      </c>
      <c r="O94" s="112">
        <f>+IF(Award!S4&gt;4,Award!Z63,0)</f>
        <v>0</v>
      </c>
    </row>
    <row r="95" spans="1:15" x14ac:dyDescent="0.25">
      <c r="A95">
        <v>4</v>
      </c>
      <c r="B95" t="s">
        <v>227</v>
      </c>
      <c r="O95" s="112">
        <f>+IF(Award!S4&gt;4,Award!Z64,0)</f>
        <v>0</v>
      </c>
    </row>
    <row r="96" spans="1:15" x14ac:dyDescent="0.25">
      <c r="A96">
        <v>5</v>
      </c>
      <c r="B96" t="s">
        <v>228</v>
      </c>
      <c r="O96" s="112">
        <f>+IF(Award!S4&gt;4,SUM(Award!Z66:Z85),0)</f>
        <v>0</v>
      </c>
    </row>
    <row r="97" spans="1:17" x14ac:dyDescent="0.25">
      <c r="A97">
        <v>6</v>
      </c>
      <c r="B97" t="s">
        <v>229</v>
      </c>
      <c r="O97" s="112">
        <f>+IF(Award!S4&gt;4,Award!Z46,0)</f>
        <v>0</v>
      </c>
    </row>
    <row r="98" spans="1:17" x14ac:dyDescent="0.25">
      <c r="A98">
        <v>7</v>
      </c>
      <c r="B98" t="s">
        <v>230</v>
      </c>
      <c r="O98" s="112">
        <v>0</v>
      </c>
    </row>
    <row r="99" spans="1:17" x14ac:dyDescent="0.25">
      <c r="A99">
        <v>8</v>
      </c>
      <c r="B99" s="387" t="str">
        <f>+Award!C86</f>
        <v>Tuition / Tuition Remission</v>
      </c>
      <c r="C99" s="388"/>
      <c r="D99" s="388"/>
      <c r="E99" s="388"/>
      <c r="F99" s="388"/>
      <c r="G99" s="388"/>
      <c r="H99" s="388"/>
      <c r="I99" s="388"/>
      <c r="J99" s="388"/>
      <c r="K99" s="389"/>
      <c r="O99" s="112">
        <f>+IF(Award!S4&gt;4,Award!Z86,0)</f>
        <v>0</v>
      </c>
    </row>
    <row r="100" spans="1:17" x14ac:dyDescent="0.25">
      <c r="A100">
        <v>9</v>
      </c>
      <c r="B100" s="387"/>
      <c r="C100" s="388"/>
      <c r="D100" s="388"/>
      <c r="E100" s="388"/>
      <c r="F100" s="388"/>
      <c r="G100" s="388"/>
      <c r="H100" s="388"/>
      <c r="I100" s="388"/>
      <c r="J100" s="388"/>
      <c r="K100" s="389"/>
      <c r="O100" s="112">
        <f>+IF(Award!S4&gt;4,Award!Z87,0)</f>
        <v>0</v>
      </c>
    </row>
    <row r="101" spans="1:17" x14ac:dyDescent="0.25">
      <c r="A101">
        <v>10</v>
      </c>
      <c r="B101" s="387"/>
      <c r="C101" s="388"/>
      <c r="D101" s="388"/>
      <c r="E101" s="388"/>
      <c r="F101" s="388"/>
      <c r="G101" s="388"/>
      <c r="H101" s="388"/>
      <c r="I101" s="388"/>
      <c r="J101" s="388"/>
      <c r="K101" s="389"/>
      <c r="O101" s="112" t="s">
        <v>80</v>
      </c>
    </row>
    <row r="102" spans="1:17" x14ac:dyDescent="0.25">
      <c r="N102" s="114" t="s">
        <v>71</v>
      </c>
      <c r="O102" s="112">
        <f>SUM(O92:O101)</f>
        <v>0</v>
      </c>
    </row>
    <row r="103" spans="1:17" x14ac:dyDescent="0.25">
      <c r="O103" s="119"/>
    </row>
    <row r="104" spans="1:17" x14ac:dyDescent="0.25">
      <c r="O104" s="119"/>
    </row>
    <row r="105" spans="1:17" x14ac:dyDescent="0.25">
      <c r="B105" s="7" t="s">
        <v>231</v>
      </c>
      <c r="O105" s="120" t="s">
        <v>213</v>
      </c>
    </row>
    <row r="106" spans="1:17" x14ac:dyDescent="0.25">
      <c r="N106" s="114" t="s">
        <v>232</v>
      </c>
      <c r="O106" s="112">
        <f>+ROUND((O102+O83+O75+O66+O45),0)</f>
        <v>0</v>
      </c>
      <c r="Q106" t="str">
        <f>+IF(O106=Award!Z90,"Equals Budget", "Does not Equal Budget")</f>
        <v>Equals Budget</v>
      </c>
    </row>
    <row r="107" spans="1:17" x14ac:dyDescent="0.25">
      <c r="O107" s="119"/>
    </row>
    <row r="108" spans="1:17" x14ac:dyDescent="0.25">
      <c r="B108" t="s">
        <v>233</v>
      </c>
      <c r="O108" s="119"/>
    </row>
    <row r="109" spans="1:17" s="115" customFormat="1" x14ac:dyDescent="0.25">
      <c r="C109" s="115" t="s">
        <v>235</v>
      </c>
      <c r="I109" s="115" t="s">
        <v>236</v>
      </c>
      <c r="L109" s="115" t="s">
        <v>234</v>
      </c>
      <c r="O109" s="120" t="s">
        <v>213</v>
      </c>
    </row>
    <row r="110" spans="1:17" x14ac:dyDescent="0.25">
      <c r="A110">
        <v>1</v>
      </c>
      <c r="B110" s="387" t="str">
        <f>+IF(Award!$H$93&gt;0,"MTDC",IF(Award!$H$94&gt;0,"TDC", IF(Award!$H$95&gt;0, "TFFA"," ")))</f>
        <v>TFFA</v>
      </c>
      <c r="C110" s="388"/>
      <c r="D110" s="388"/>
      <c r="E110" s="388"/>
      <c r="F110" s="389"/>
      <c r="I110" s="392" t="str">
        <f>+IF(Award!$H$93&gt;0,Award!H93,IF(Award!$H$94&gt;0,Award!H94,IF(Award!$H$95&gt;0,Award!H95,0)))</f>
        <v xml:space="preserve"> </v>
      </c>
      <c r="J110" s="393"/>
      <c r="L110" s="390">
        <f>+IF(Award!$H$93&gt;0,Award!Y93,IF(Award!$H$94&gt;0,Award!Z90,IF(Award!$H$95&gt;0,Award!Z90,0)))</f>
        <v>0</v>
      </c>
      <c r="M110" s="391"/>
      <c r="O110" s="112" t="e">
        <f>+ROUND(L110*I110,0)</f>
        <v>#VALUE!</v>
      </c>
      <c r="Q110" t="s">
        <v>80</v>
      </c>
    </row>
    <row r="111" spans="1:17" x14ac:dyDescent="0.25">
      <c r="A111">
        <v>2</v>
      </c>
      <c r="B111" s="387"/>
      <c r="C111" s="388"/>
      <c r="D111" s="388"/>
      <c r="E111" s="388"/>
      <c r="F111" s="389"/>
      <c r="I111" s="387"/>
      <c r="J111" s="389"/>
      <c r="L111" s="387"/>
      <c r="M111" s="389"/>
      <c r="O111" s="112" t="s">
        <v>80</v>
      </c>
    </row>
    <row r="112" spans="1:17" x14ac:dyDescent="0.25">
      <c r="A112">
        <v>3</v>
      </c>
      <c r="B112" s="387"/>
      <c r="C112" s="388"/>
      <c r="D112" s="388"/>
      <c r="E112" s="388"/>
      <c r="F112" s="389"/>
      <c r="I112" s="387"/>
      <c r="J112" s="389"/>
      <c r="L112" s="387"/>
      <c r="M112" s="389"/>
      <c r="O112" s="112" t="s">
        <v>80</v>
      </c>
    </row>
    <row r="113" spans="1:17" x14ac:dyDescent="0.25">
      <c r="A113">
        <v>4</v>
      </c>
      <c r="B113" s="387"/>
      <c r="C113" s="388"/>
      <c r="D113" s="388"/>
      <c r="E113" s="388"/>
      <c r="F113" s="389"/>
      <c r="I113" s="387"/>
      <c r="J113" s="389"/>
      <c r="L113" s="387"/>
      <c r="M113" s="389"/>
      <c r="O113" s="112" t="s">
        <v>80</v>
      </c>
    </row>
    <row r="114" spans="1:17" x14ac:dyDescent="0.25">
      <c r="N114" s="114" t="s">
        <v>237</v>
      </c>
      <c r="O114" s="112" t="e">
        <f>SUM(O110:O113)</f>
        <v>#VALUE!</v>
      </c>
    </row>
    <row r="117" spans="1:17" x14ac:dyDescent="0.25">
      <c r="B117" t="s">
        <v>239</v>
      </c>
      <c r="F117" s="387" t="s">
        <v>241</v>
      </c>
      <c r="G117" s="388"/>
      <c r="H117" s="388"/>
      <c r="I117" s="388"/>
      <c r="J117" s="388"/>
      <c r="K117" s="388"/>
      <c r="L117" s="388"/>
      <c r="M117" s="388"/>
      <c r="N117" s="388"/>
      <c r="O117" s="389"/>
    </row>
    <row r="118" spans="1:17" x14ac:dyDescent="0.25">
      <c r="B118" t="s">
        <v>240</v>
      </c>
    </row>
    <row r="120" spans="1:17" x14ac:dyDescent="0.25">
      <c r="B120" s="7" t="s">
        <v>238</v>
      </c>
      <c r="O120" s="114" t="s">
        <v>213</v>
      </c>
    </row>
    <row r="121" spans="1:17" x14ac:dyDescent="0.25">
      <c r="E121" t="s">
        <v>242</v>
      </c>
      <c r="O121" s="112" t="e">
        <f>+ROUND(O106+O114,0)</f>
        <v>#VALUE!</v>
      </c>
      <c r="Q121" t="e">
        <f>+IF(O121=Award!Z98,"Equals Budget", "Does not Equal Budget")</f>
        <v>#VALUE!</v>
      </c>
    </row>
    <row r="122" spans="1:17" x14ac:dyDescent="0.25">
      <c r="O122" s="50"/>
    </row>
    <row r="123" spans="1:17" x14ac:dyDescent="0.25">
      <c r="O123" s="50"/>
    </row>
    <row r="124" spans="1:17" x14ac:dyDescent="0.25">
      <c r="B124" s="7" t="s">
        <v>243</v>
      </c>
      <c r="O124" s="117" t="s">
        <v>213</v>
      </c>
    </row>
    <row r="125" spans="1:17" x14ac:dyDescent="0.25">
      <c r="O125" s="112">
        <v>0</v>
      </c>
    </row>
    <row r="126" spans="1:17" x14ac:dyDescent="0.25">
      <c r="O126" s="50"/>
    </row>
    <row r="128" spans="1:17" x14ac:dyDescent="0.25">
      <c r="B128" s="7" t="s">
        <v>244</v>
      </c>
      <c r="E128" s="387"/>
      <c r="F128" s="388"/>
      <c r="G128" s="388"/>
      <c r="H128" s="388"/>
      <c r="I128" s="389"/>
    </row>
  </sheetData>
  <sheetProtection algorithmName="SHA-512" hashValue="q62OuyqHBArAANXhrvmweZkjF7RuZVbnpDocEjR2H0D9gZfYGH7JkDFVauvqeqcwYa7Mm0pje+9PNB8gRsyYIA==" saltValue="vIK0/PyOU6nFtNUV2t1ghA==" spinCount="100000" sheet="1" objects="1" scenarios="1"/>
  <mergeCells count="32">
    <mergeCell ref="F117:O117"/>
    <mergeCell ref="E128:I128"/>
    <mergeCell ref="B112:F112"/>
    <mergeCell ref="I112:J112"/>
    <mergeCell ref="L112:M112"/>
    <mergeCell ref="B113:F113"/>
    <mergeCell ref="I113:J113"/>
    <mergeCell ref="L113:M113"/>
    <mergeCell ref="B110:F110"/>
    <mergeCell ref="I110:J110"/>
    <mergeCell ref="L110:M110"/>
    <mergeCell ref="B111:F111"/>
    <mergeCell ref="I111:J111"/>
    <mergeCell ref="L111:M111"/>
    <mergeCell ref="B101:K101"/>
    <mergeCell ref="B60:M60"/>
    <mergeCell ref="B61:M61"/>
    <mergeCell ref="B62:M62"/>
    <mergeCell ref="B63:M63"/>
    <mergeCell ref="B64:M64"/>
    <mergeCell ref="B65:M65"/>
    <mergeCell ref="E69:L69"/>
    <mergeCell ref="C82:L82"/>
    <mergeCell ref="G89:H89"/>
    <mergeCell ref="B99:K99"/>
    <mergeCell ref="B100:K100"/>
    <mergeCell ref="B59:M59"/>
    <mergeCell ref="G5:H5"/>
    <mergeCell ref="G51:H51"/>
    <mergeCell ref="B56:M56"/>
    <mergeCell ref="B57:M57"/>
    <mergeCell ref="B58:M58"/>
  </mergeCells>
  <pageMargins left="0.7" right="0.7" top="0.75" bottom="0.75" header="0.3" footer="0.3"/>
  <pageSetup scale="50"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32"/>
  <sheetViews>
    <sheetView topLeftCell="A16" workbookViewId="0">
      <selection activeCell="D30" sqref="D30"/>
    </sheetView>
  </sheetViews>
  <sheetFormatPr defaultRowHeight="15" x14ac:dyDescent="0.25"/>
  <cols>
    <col min="1" max="1" width="8.28515625" customWidth="1"/>
    <col min="2" max="2" width="38.85546875" bestFit="1" customWidth="1"/>
    <col min="3" max="4" width="14.7109375" customWidth="1"/>
  </cols>
  <sheetData>
    <row r="1" spans="1:4" x14ac:dyDescent="0.25">
      <c r="A1" s="394" t="s">
        <v>245</v>
      </c>
      <c r="B1" s="394"/>
      <c r="C1" s="394"/>
      <c r="D1" s="394"/>
    </row>
    <row r="2" spans="1:4" x14ac:dyDescent="0.25">
      <c r="A2" s="383" t="s">
        <v>246</v>
      </c>
      <c r="B2" s="383"/>
      <c r="C2" s="383"/>
      <c r="D2" s="383"/>
    </row>
    <row r="3" spans="1:4" x14ac:dyDescent="0.25">
      <c r="A3" t="s">
        <v>247</v>
      </c>
      <c r="D3" s="112">
        <f>+ROUND(('R&amp;R Yr 1'!O27+'R&amp;R Yr 2'!O27+'R&amp;R Yr 3'!O27+'R&amp;R Yr 4'!O27+'R&amp;R Yr 5'!O27),0)</f>
        <v>0</v>
      </c>
    </row>
    <row r="4" spans="1:4" x14ac:dyDescent="0.25">
      <c r="A4" t="s">
        <v>248</v>
      </c>
      <c r="D4" s="112">
        <f xml:space="preserve"> ROUND(('R&amp;R Yr 1'!O44+'R&amp;R Yr 2'!O44+'R&amp;R Yr 3'!O44+'R&amp;R Yr 4'!O44+'R&amp;R Yr 5'!O44),0)</f>
        <v>0</v>
      </c>
    </row>
    <row r="5" spans="1:4" x14ac:dyDescent="0.25">
      <c r="A5" t="s">
        <v>208</v>
      </c>
      <c r="C5" s="12">
        <f>+SUM('R&amp;R Yr 1'!B44+'R&amp;R Yr 2'!B44+'R&amp;R Yr 3'!B44+'R&amp;R Yr 4'!B44+'R&amp;R Yr 5'!B44)</f>
        <v>0</v>
      </c>
    </row>
    <row r="6" spans="1:4" x14ac:dyDescent="0.25">
      <c r="A6" t="s">
        <v>209</v>
      </c>
      <c r="D6" s="118">
        <f>SUM(D3:D5)</f>
        <v>0</v>
      </c>
    </row>
    <row r="7" spans="1:4" x14ac:dyDescent="0.25">
      <c r="A7" t="s">
        <v>249</v>
      </c>
      <c r="D7" s="112">
        <f>+ROUND(('R&amp;R Yr 1'!O66+'R&amp;R Yr 2'!O66+'R&amp;R Yr 3'!O66+'R&amp;R Yr 4'!O66+'R&amp;R Yr 5'!O66),0)</f>
        <v>0</v>
      </c>
    </row>
    <row r="8" spans="1:4" x14ac:dyDescent="0.25">
      <c r="A8" t="s">
        <v>250</v>
      </c>
      <c r="D8" s="112">
        <f>SUM(C9:C10)</f>
        <v>0</v>
      </c>
    </row>
    <row r="9" spans="1:4" x14ac:dyDescent="0.25">
      <c r="A9">
        <v>1</v>
      </c>
      <c r="B9" t="s">
        <v>251</v>
      </c>
      <c r="C9" s="112">
        <f>+ROUND(('R&amp;R Yr 1'!O73+'R&amp;R Yr 2'!O73+'R&amp;R Yr 3'!O73+'R&amp;R Yr 4'!O73+'R&amp;R Yr 5'!O73),0)</f>
        <v>0</v>
      </c>
    </row>
    <row r="10" spans="1:4" x14ac:dyDescent="0.25">
      <c r="A10">
        <v>2</v>
      </c>
      <c r="B10" t="s">
        <v>53</v>
      </c>
      <c r="C10" s="112">
        <f>+ROUND(('R&amp;R Yr 1'!O74+'R&amp;R Yr 2'!O74+'R&amp;R Yr 3'!O74+'R&amp;R Yr 4'!O74+'R&amp;R Yr 5'!O74),0)</f>
        <v>0</v>
      </c>
    </row>
    <row r="11" spans="1:4" x14ac:dyDescent="0.25">
      <c r="A11" t="s">
        <v>252</v>
      </c>
      <c r="D11" s="12">
        <f>SUM(C12:C17)</f>
        <v>0</v>
      </c>
    </row>
    <row r="12" spans="1:4" x14ac:dyDescent="0.25">
      <c r="A12">
        <v>1</v>
      </c>
      <c r="B12" t="s">
        <v>221</v>
      </c>
      <c r="C12" s="112">
        <f>+ROUND(('R&amp;R Yr 1'!O78+'R&amp;R Yr 2'!O78+'R&amp;R Yr 3'!O78+'R&amp;R Yr 4'!O78+'R&amp;R Yr 5'!O78),0)</f>
        <v>0</v>
      </c>
    </row>
    <row r="13" spans="1:4" x14ac:dyDescent="0.25">
      <c r="A13">
        <v>2</v>
      </c>
      <c r="B13" t="s">
        <v>57</v>
      </c>
      <c r="C13" s="112">
        <f>+ROUND(('R&amp;R Yr 1'!O79+'R&amp;R Yr 2'!O79+'R&amp;R Yr 3'!O79+'R&amp;R Yr 4'!O79+'R&amp;R Yr 5'!O79),0)</f>
        <v>0</v>
      </c>
    </row>
    <row r="14" spans="1:4" x14ac:dyDescent="0.25">
      <c r="A14">
        <v>3</v>
      </c>
      <c r="B14" t="s">
        <v>52</v>
      </c>
      <c r="C14" s="112">
        <f>+ROUND(('R&amp;R Yr 1'!O80+'R&amp;R Yr 2'!O80+'R&amp;R Yr 3'!O80+'R&amp;R Yr 4'!O80+'R&amp;R Yr 5'!O80),0)</f>
        <v>0</v>
      </c>
    </row>
    <row r="15" spans="1:4" x14ac:dyDescent="0.25">
      <c r="A15">
        <v>4</v>
      </c>
      <c r="B15" t="s">
        <v>58</v>
      </c>
      <c r="C15" s="112">
        <f>+ROUND(('R&amp;R Yr 1'!O81+'R&amp;R Yr 2'!O81+'R&amp;R Yr 3'!O81+'R&amp;R Yr 4'!O81+'R&amp;R Yr 5'!O81),0)</f>
        <v>0</v>
      </c>
    </row>
    <row r="16" spans="1:4" x14ac:dyDescent="0.25">
      <c r="A16">
        <v>5</v>
      </c>
      <c r="B16" t="s">
        <v>59</v>
      </c>
      <c r="C16" s="112">
        <f>+ROUND(('R&amp;R Yr 1'!O82+'R&amp;R Yr 2'!O82+'R&amp;R Yr 3'!O82+'R&amp;R Yr 4'!O82+'R&amp;R Yr 5'!O82),0)</f>
        <v>0</v>
      </c>
    </row>
    <row r="17" spans="1:6" x14ac:dyDescent="0.25">
      <c r="A17">
        <v>6</v>
      </c>
      <c r="B17" t="s">
        <v>222</v>
      </c>
      <c r="C17" s="12">
        <f>+'R&amp;R Yr 1'!A83+'R&amp;R Yr 2'!A83+'R&amp;R Yr 3'!A83+'R&amp;R Yr 4'!A83+'R&amp;R Yr 5'!A83</f>
        <v>0</v>
      </c>
    </row>
    <row r="18" spans="1:6" x14ac:dyDescent="0.25">
      <c r="A18" t="s">
        <v>253</v>
      </c>
      <c r="C18" s="119"/>
      <c r="D18" s="112">
        <f>SUM(C19:C28)</f>
        <v>0</v>
      </c>
    </row>
    <row r="19" spans="1:6" x14ac:dyDescent="0.25">
      <c r="A19">
        <v>1</v>
      </c>
      <c r="B19" t="s">
        <v>225</v>
      </c>
      <c r="C19" s="112">
        <f>+ROUND(('R&amp;R Yr 1'!O92+'R&amp;R Yr 2'!O92+'R&amp;R Yr 3'!O92+'R&amp;R Yr 4'!O92+'R&amp;R Yr 5'!O92),0)</f>
        <v>0</v>
      </c>
      <c r="D19" s="119"/>
    </row>
    <row r="20" spans="1:6" x14ac:dyDescent="0.25">
      <c r="A20">
        <v>2</v>
      </c>
      <c r="B20" t="s">
        <v>65</v>
      </c>
      <c r="C20" s="112">
        <f>+ROUND(('R&amp;R Yr 1'!O93+'R&amp;R Yr 2'!O93+'R&amp;R Yr 3'!O93+'R&amp;R Yr 4'!O93+'R&amp;R Yr 5'!O93),0)</f>
        <v>0</v>
      </c>
      <c r="D20" s="119"/>
    </row>
    <row r="21" spans="1:6" x14ac:dyDescent="0.25">
      <c r="A21">
        <v>3</v>
      </c>
      <c r="B21" t="s">
        <v>226</v>
      </c>
      <c r="C21" s="112">
        <f>+ROUND(('R&amp;R Yr 1'!O94+'R&amp;R Yr 2'!O94+'R&amp;R Yr 3'!O94+'R&amp;R Yr 4'!O94+'R&amp;R Yr 5'!O94),0)</f>
        <v>0</v>
      </c>
      <c r="D21" s="119"/>
    </row>
    <row r="22" spans="1:6" x14ac:dyDescent="0.25">
      <c r="A22">
        <v>4</v>
      </c>
      <c r="B22" t="s">
        <v>227</v>
      </c>
      <c r="C22" s="112">
        <f>+ROUND(('R&amp;R Yr 1'!O95+'R&amp;R Yr 2'!O95+'R&amp;R Yr 3'!O95+'R&amp;R Yr 4'!O95+'R&amp;R Yr 5'!O95),0)</f>
        <v>0</v>
      </c>
      <c r="D22" s="119"/>
    </row>
    <row r="23" spans="1:6" x14ac:dyDescent="0.25">
      <c r="A23">
        <v>5</v>
      </c>
      <c r="B23" t="s">
        <v>228</v>
      </c>
      <c r="C23" s="112">
        <f>+ROUND(('R&amp;R Yr 1'!O96+'R&amp;R Yr 2'!O96+'R&amp;R Yr 3'!O96+'R&amp;R Yr 4'!O96+'R&amp;R Yr 5'!O96),0)</f>
        <v>0</v>
      </c>
      <c r="D23" s="119"/>
    </row>
    <row r="24" spans="1:6" x14ac:dyDescent="0.25">
      <c r="A24">
        <v>6</v>
      </c>
      <c r="B24" t="s">
        <v>229</v>
      </c>
      <c r="C24" s="112">
        <f>+ROUND(('R&amp;R Yr 1'!O97+'R&amp;R Yr 2'!O97+'R&amp;R Yr 3'!O97+'R&amp;R Yr 4'!O97+'R&amp;R Yr 5'!O97),0)</f>
        <v>0</v>
      </c>
      <c r="D24" s="119"/>
    </row>
    <row r="25" spans="1:6" x14ac:dyDescent="0.25">
      <c r="A25">
        <v>7</v>
      </c>
      <c r="B25" t="s">
        <v>230</v>
      </c>
      <c r="C25" s="112">
        <f>+ROUND(('R&amp;R Yr 1'!O98+'R&amp;R Yr 2'!O98+'R&amp;R Yr 3'!O98+'R&amp;R Yr 4'!O98+'R&amp;R Yr 5'!O98),0)</f>
        <v>0</v>
      </c>
      <c r="D25" s="119"/>
    </row>
    <row r="26" spans="1:6" x14ac:dyDescent="0.25">
      <c r="A26">
        <v>8</v>
      </c>
      <c r="B26" t="s">
        <v>254</v>
      </c>
      <c r="C26" s="112">
        <f>+ROUND(('R&amp;R Yr 1'!O99+'R&amp;R Yr 2'!O99+'R&amp;R Yr 3'!O99+'R&amp;R Yr 4'!O99+'R&amp;R Yr 5'!O99),0)</f>
        <v>0</v>
      </c>
      <c r="D26" s="119"/>
    </row>
    <row r="27" spans="1:6" x14ac:dyDescent="0.25">
      <c r="A27">
        <v>9</v>
      </c>
      <c r="B27" t="s">
        <v>255</v>
      </c>
      <c r="C27" s="112">
        <f>+ROUND(('R&amp;R Yr 1'!O100+'R&amp;R Yr 2'!O100+'R&amp;R Yr 3'!O100+'R&amp;R Yr 4'!O100+'R&amp;R Yr 5'!O100),0)</f>
        <v>0</v>
      </c>
      <c r="D27" s="119"/>
    </row>
    <row r="28" spans="1:6" x14ac:dyDescent="0.25">
      <c r="A28">
        <v>10</v>
      </c>
      <c r="B28" t="s">
        <v>256</v>
      </c>
      <c r="C28" s="112">
        <v>0</v>
      </c>
      <c r="D28" s="119"/>
    </row>
    <row r="29" spans="1:6" x14ac:dyDescent="0.25">
      <c r="A29" t="s">
        <v>257</v>
      </c>
      <c r="D29" s="118">
        <f>SUM(D6:D24)</f>
        <v>0</v>
      </c>
    </row>
    <row r="30" spans="1:6" x14ac:dyDescent="0.25">
      <c r="A30" t="s">
        <v>258</v>
      </c>
      <c r="D30" s="112" t="e">
        <f>+ROUND(('R&amp;R Yr 1'!O114+'R&amp;R Yr 2'!O114+'R&amp;R Yr 3'!O114+'R&amp;R Yr 4'!O114+'R&amp;R Yr 5'!O114),0)</f>
        <v>#VALUE!</v>
      </c>
    </row>
    <row r="31" spans="1:6" x14ac:dyDescent="0.25">
      <c r="A31" t="s">
        <v>259</v>
      </c>
      <c r="D31" s="118" t="e">
        <f>+D29+D30</f>
        <v>#VALUE!</v>
      </c>
      <c r="F31" t="e">
        <f>+IF(D31=Award!AA98,"Equals Budget", "Does not Equal Budget")</f>
        <v>#VALUE!</v>
      </c>
    </row>
    <row r="32" spans="1:6" x14ac:dyDescent="0.25">
      <c r="A32" t="s">
        <v>260</v>
      </c>
      <c r="D32" s="12"/>
    </row>
  </sheetData>
  <sheetProtection algorithmName="SHA-512" hashValue="bLZXNxexCrSETZciHNV/yD/2TvScOxbRIPmC2ubAyhpX2FJ4v/R2Qbh0W1JVBpKBTh/f7KWR80xFr4JPGcFfrA==" saltValue="eZrjpfelHSzxiiWQfneeSw==" spinCount="100000" sheet="1" objects="1" scenarios="1"/>
  <mergeCells count="2">
    <mergeCell ref="A1:D1"/>
    <mergeCell ref="A2:D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68"/>
  <sheetViews>
    <sheetView workbookViewId="0">
      <selection activeCell="V28" sqref="V28"/>
    </sheetView>
  </sheetViews>
  <sheetFormatPr defaultRowHeight="12.75" x14ac:dyDescent="0.2"/>
  <cols>
    <col min="1" max="1" width="4.28515625" style="210" customWidth="1"/>
    <col min="2" max="2" width="7" style="210" customWidth="1"/>
    <col min="3" max="3" width="9.5703125" style="212" customWidth="1"/>
    <col min="4" max="4" width="1.28515625" style="208" customWidth="1"/>
    <col min="5" max="5" width="10.28515625" style="212" customWidth="1"/>
    <col min="6" max="6" width="9.7109375" style="212" bestFit="1" customWidth="1"/>
    <col min="7" max="7" width="10.140625" style="212" bestFit="1" customWidth="1"/>
    <col min="8" max="8" width="9.7109375" style="212" bestFit="1" customWidth="1"/>
    <col min="9" max="9" width="13.85546875" style="212" customWidth="1"/>
    <col min="10" max="12" width="9.7109375" style="212" bestFit="1" customWidth="1"/>
    <col min="13" max="13" width="10" style="212" bestFit="1" customWidth="1"/>
    <col min="14" max="17" width="9.7109375" style="212" bestFit="1" customWidth="1"/>
    <col min="18" max="18" width="8.5703125" style="212" bestFit="1" customWidth="1"/>
    <col min="19" max="19" width="11.5703125" style="212" customWidth="1"/>
    <col min="20" max="20" width="8.5703125" style="212" bestFit="1" customWidth="1"/>
    <col min="21" max="16384" width="9.140625" style="210"/>
  </cols>
  <sheetData>
    <row r="2" spans="1:20" s="205" customFormat="1" ht="76.5" x14ac:dyDescent="0.2">
      <c r="A2" s="205" t="s">
        <v>327</v>
      </c>
      <c r="B2" s="205" t="s">
        <v>328</v>
      </c>
      <c r="C2" s="206" t="s">
        <v>329</v>
      </c>
      <c r="D2" s="207"/>
      <c r="E2" s="206" t="s">
        <v>353</v>
      </c>
      <c r="F2" s="205" t="s">
        <v>330</v>
      </c>
      <c r="G2" s="205" t="s">
        <v>331</v>
      </c>
      <c r="H2" s="205" t="s">
        <v>332</v>
      </c>
      <c r="I2" s="205" t="s">
        <v>333</v>
      </c>
      <c r="J2" s="205" t="s">
        <v>334</v>
      </c>
      <c r="K2" s="205" t="s">
        <v>335</v>
      </c>
      <c r="L2" s="205" t="s">
        <v>336</v>
      </c>
      <c r="M2" s="205" t="s">
        <v>337</v>
      </c>
      <c r="N2" s="205" t="s">
        <v>338</v>
      </c>
      <c r="O2" s="205" t="s">
        <v>339</v>
      </c>
      <c r="P2" s="205" t="s">
        <v>340</v>
      </c>
      <c r="Q2" s="205" t="s">
        <v>341</v>
      </c>
      <c r="R2" s="206" t="s">
        <v>342</v>
      </c>
      <c r="S2" s="206" t="s">
        <v>343</v>
      </c>
      <c r="T2" s="206" t="s">
        <v>344</v>
      </c>
    </row>
    <row r="4" spans="1:20" x14ac:dyDescent="0.2">
      <c r="A4" s="395" t="s">
        <v>345</v>
      </c>
      <c r="B4" s="395"/>
      <c r="C4" s="395"/>
      <c r="E4" s="209">
        <v>2504</v>
      </c>
      <c r="F4" s="209">
        <v>2729</v>
      </c>
      <c r="G4" s="209">
        <v>2804</v>
      </c>
      <c r="H4" s="209">
        <v>2924</v>
      </c>
      <c r="I4" s="209">
        <v>3104</v>
      </c>
      <c r="J4" s="209">
        <v>3169</v>
      </c>
      <c r="K4" s="209">
        <v>3179</v>
      </c>
      <c r="L4" s="209">
        <v>3275</v>
      </c>
      <c r="M4" s="209">
        <v>3418</v>
      </c>
      <c r="N4" s="209">
        <v>3671</v>
      </c>
      <c r="O4" s="209">
        <v>3704</v>
      </c>
      <c r="P4" s="209">
        <v>5724</v>
      </c>
      <c r="Q4" s="209">
        <v>9117</v>
      </c>
      <c r="R4" s="209">
        <v>5659</v>
      </c>
      <c r="S4" s="209">
        <v>7564</v>
      </c>
      <c r="T4" s="209">
        <v>12494</v>
      </c>
    </row>
    <row r="5" spans="1:20" x14ac:dyDescent="0.2">
      <c r="A5" s="211" t="s">
        <v>346</v>
      </c>
    </row>
    <row r="6" spans="1:20" x14ac:dyDescent="0.2">
      <c r="A6" s="210">
        <v>12</v>
      </c>
      <c r="B6" s="210">
        <v>100</v>
      </c>
      <c r="C6" s="212">
        <v>47722</v>
      </c>
      <c r="E6" s="212">
        <f t="shared" ref="E6:T6" si="0">E7/$B$7%</f>
        <v>42612.244897959186</v>
      </c>
      <c r="F6" s="212">
        <f t="shared" si="0"/>
        <v>42153.0612244898</v>
      </c>
      <c r="G6" s="212">
        <f t="shared" si="0"/>
        <v>42000</v>
      </c>
      <c r="H6" s="212">
        <f t="shared" si="0"/>
        <v>41755.102040816324</v>
      </c>
      <c r="I6" s="212">
        <f t="shared" si="0"/>
        <v>41387.755102040814</v>
      </c>
      <c r="J6" s="212">
        <f t="shared" si="0"/>
        <v>41255.102040816324</v>
      </c>
      <c r="K6" s="212">
        <f t="shared" si="0"/>
        <v>41234.693877551021</v>
      </c>
      <c r="L6" s="212">
        <f t="shared" si="0"/>
        <v>41038.775510204083</v>
      </c>
      <c r="M6" s="212">
        <f t="shared" si="0"/>
        <v>40746.938775510207</v>
      </c>
      <c r="N6" s="212">
        <f t="shared" si="0"/>
        <v>40230.612244897959</v>
      </c>
      <c r="O6" s="212">
        <f t="shared" si="0"/>
        <v>40163.265306122448</v>
      </c>
      <c r="P6" s="212">
        <f t="shared" si="0"/>
        <v>36040.816326530614</v>
      </c>
      <c r="Q6" s="212">
        <f t="shared" si="0"/>
        <v>29116.326530612245</v>
      </c>
      <c r="R6" s="212">
        <f t="shared" si="0"/>
        <v>36173.469387755104</v>
      </c>
      <c r="S6" s="212">
        <f t="shared" si="0"/>
        <v>32285.714285714286</v>
      </c>
      <c r="T6" s="212">
        <f t="shared" si="0"/>
        <v>22224.489795918369</v>
      </c>
    </row>
    <row r="7" spans="1:20" x14ac:dyDescent="0.2">
      <c r="B7" s="210">
        <v>49</v>
      </c>
      <c r="C7" s="212">
        <v>23384</v>
      </c>
      <c r="E7" s="212">
        <f>$C$7-E4</f>
        <v>20880</v>
      </c>
      <c r="F7" s="212">
        <f>$C$7-F4</f>
        <v>20655</v>
      </c>
      <c r="G7" s="212">
        <f>$C$7-G4</f>
        <v>20580</v>
      </c>
      <c r="H7" s="212">
        <f t="shared" ref="H7:T7" si="1">$C$7-H4</f>
        <v>20460</v>
      </c>
      <c r="I7" s="212">
        <f t="shared" si="1"/>
        <v>20280</v>
      </c>
      <c r="J7" s="212">
        <f t="shared" si="1"/>
        <v>20215</v>
      </c>
      <c r="K7" s="212">
        <f t="shared" si="1"/>
        <v>20205</v>
      </c>
      <c r="L7" s="212">
        <f t="shared" si="1"/>
        <v>20109</v>
      </c>
      <c r="M7" s="212">
        <f t="shared" si="1"/>
        <v>19966</v>
      </c>
      <c r="N7" s="212">
        <f t="shared" si="1"/>
        <v>19713</v>
      </c>
      <c r="O7" s="212">
        <f t="shared" si="1"/>
        <v>19680</v>
      </c>
      <c r="P7" s="212">
        <f t="shared" si="1"/>
        <v>17660</v>
      </c>
      <c r="Q7" s="212">
        <f t="shared" si="1"/>
        <v>14267</v>
      </c>
      <c r="R7" s="212">
        <f t="shared" si="1"/>
        <v>17725</v>
      </c>
      <c r="S7" s="212">
        <f t="shared" si="1"/>
        <v>15820</v>
      </c>
      <c r="T7" s="212">
        <f t="shared" si="1"/>
        <v>10890</v>
      </c>
    </row>
    <row r="8" spans="1:20" x14ac:dyDescent="0.2">
      <c r="B8" s="210">
        <v>25</v>
      </c>
      <c r="C8" s="212">
        <v>11931</v>
      </c>
      <c r="E8" s="212">
        <f>E6*$B$8%</f>
        <v>10653.061224489797</v>
      </c>
      <c r="F8" s="212">
        <f>F6*$B$8%</f>
        <v>10538.26530612245</v>
      </c>
      <c r="G8" s="212">
        <f>G6*$B$8%</f>
        <v>10500</v>
      </c>
      <c r="H8" s="212">
        <f t="shared" ref="H8:T8" si="2">H6*$B$8%</f>
        <v>10438.775510204081</v>
      </c>
      <c r="I8" s="212">
        <f t="shared" si="2"/>
        <v>10346.938775510203</v>
      </c>
      <c r="J8" s="212">
        <f t="shared" si="2"/>
        <v>10313.775510204081</v>
      </c>
      <c r="K8" s="212">
        <f t="shared" si="2"/>
        <v>10308.673469387755</v>
      </c>
      <c r="L8" s="212">
        <f t="shared" si="2"/>
        <v>10259.693877551021</v>
      </c>
      <c r="M8" s="212">
        <f t="shared" si="2"/>
        <v>10186.734693877552</v>
      </c>
      <c r="N8" s="212">
        <f t="shared" si="2"/>
        <v>10057.65306122449</v>
      </c>
      <c r="O8" s="212">
        <f t="shared" si="2"/>
        <v>10040.816326530612</v>
      </c>
      <c r="P8" s="212">
        <f t="shared" si="2"/>
        <v>9010.2040816326535</v>
      </c>
      <c r="Q8" s="212">
        <f t="shared" si="2"/>
        <v>7279.0816326530612</v>
      </c>
      <c r="R8" s="212">
        <f t="shared" si="2"/>
        <v>9043.3673469387759</v>
      </c>
      <c r="S8" s="212">
        <f t="shared" si="2"/>
        <v>8071.4285714285716</v>
      </c>
      <c r="T8" s="212">
        <f t="shared" si="2"/>
        <v>5556.1224489795923</v>
      </c>
    </row>
    <row r="10" spans="1:20" x14ac:dyDescent="0.2">
      <c r="A10" s="210">
        <v>9</v>
      </c>
      <c r="B10" s="210">
        <v>100</v>
      </c>
      <c r="C10" s="212">
        <f>C6/12*9</f>
        <v>35791.5</v>
      </c>
      <c r="E10" s="212">
        <f t="shared" ref="E10:T12" si="3">E6/12*9</f>
        <v>31959.18367346939</v>
      </c>
      <c r="F10" s="212">
        <f t="shared" si="3"/>
        <v>31614.795918367352</v>
      </c>
      <c r="G10" s="212">
        <f t="shared" si="3"/>
        <v>31500</v>
      </c>
      <c r="H10" s="212">
        <f t="shared" si="3"/>
        <v>31316.326530612241</v>
      </c>
      <c r="I10" s="212">
        <f t="shared" si="3"/>
        <v>31040.81632653061</v>
      </c>
      <c r="J10" s="212">
        <f t="shared" si="3"/>
        <v>30941.326530612241</v>
      </c>
      <c r="K10" s="212">
        <f t="shared" si="3"/>
        <v>30926.020408163266</v>
      </c>
      <c r="L10" s="212">
        <f t="shared" si="3"/>
        <v>30779.081632653062</v>
      </c>
      <c r="M10" s="212">
        <f t="shared" si="3"/>
        <v>30560.204081632655</v>
      </c>
      <c r="N10" s="212">
        <f t="shared" si="3"/>
        <v>30172.959183673469</v>
      </c>
      <c r="O10" s="212">
        <f t="shared" si="3"/>
        <v>30122.448979591834</v>
      </c>
      <c r="P10" s="212">
        <f t="shared" si="3"/>
        <v>27030.612244897959</v>
      </c>
      <c r="Q10" s="212">
        <f t="shared" si="3"/>
        <v>21837.244897959186</v>
      </c>
      <c r="R10" s="212">
        <f t="shared" si="3"/>
        <v>27130.102040816328</v>
      </c>
      <c r="S10" s="212">
        <f t="shared" si="3"/>
        <v>24214.285714285714</v>
      </c>
      <c r="T10" s="212">
        <f t="shared" si="3"/>
        <v>16668.367346938776</v>
      </c>
    </row>
    <row r="11" spans="1:20" x14ac:dyDescent="0.2">
      <c r="B11" s="210">
        <v>49</v>
      </c>
      <c r="C11" s="212">
        <f>C7/12*9</f>
        <v>17538</v>
      </c>
      <c r="E11" s="212">
        <f t="shared" si="3"/>
        <v>15660</v>
      </c>
      <c r="F11" s="212">
        <f t="shared" si="3"/>
        <v>15491.25</v>
      </c>
      <c r="G11" s="212">
        <f t="shared" si="3"/>
        <v>15435</v>
      </c>
      <c r="H11" s="212">
        <f t="shared" si="3"/>
        <v>15345</v>
      </c>
      <c r="I11" s="212">
        <f t="shared" si="3"/>
        <v>15210</v>
      </c>
      <c r="J11" s="212">
        <f t="shared" si="3"/>
        <v>15161.25</v>
      </c>
      <c r="K11" s="212">
        <f t="shared" si="3"/>
        <v>15153.75</v>
      </c>
      <c r="L11" s="212">
        <f t="shared" si="3"/>
        <v>15081.75</v>
      </c>
      <c r="M11" s="212">
        <f t="shared" si="3"/>
        <v>14974.5</v>
      </c>
      <c r="N11" s="212">
        <f t="shared" si="3"/>
        <v>14784.75</v>
      </c>
      <c r="O11" s="212">
        <f t="shared" si="3"/>
        <v>14760</v>
      </c>
      <c r="P11" s="212">
        <f t="shared" si="3"/>
        <v>13245</v>
      </c>
      <c r="Q11" s="212">
        <f t="shared" si="3"/>
        <v>10700.25</v>
      </c>
      <c r="R11" s="212">
        <f t="shared" si="3"/>
        <v>13293.75</v>
      </c>
      <c r="S11" s="212">
        <f t="shared" si="3"/>
        <v>11865</v>
      </c>
      <c r="T11" s="212">
        <f t="shared" si="3"/>
        <v>8167.5</v>
      </c>
    </row>
    <row r="12" spans="1:20" x14ac:dyDescent="0.2">
      <c r="B12" s="210">
        <v>25</v>
      </c>
      <c r="C12" s="212">
        <f>C8/12*9</f>
        <v>8948.25</v>
      </c>
      <c r="E12" s="212">
        <f t="shared" si="3"/>
        <v>7989.7959183673474</v>
      </c>
      <c r="F12" s="212">
        <f t="shared" si="3"/>
        <v>7903.698979591838</v>
      </c>
      <c r="G12" s="212">
        <f t="shared" si="3"/>
        <v>7875</v>
      </c>
      <c r="H12" s="212">
        <f t="shared" si="3"/>
        <v>7829.0816326530603</v>
      </c>
      <c r="I12" s="212">
        <f t="shared" si="3"/>
        <v>7760.2040816326526</v>
      </c>
      <c r="J12" s="212">
        <f t="shared" si="3"/>
        <v>7735.3316326530603</v>
      </c>
      <c r="K12" s="212">
        <f t="shared" si="3"/>
        <v>7731.5051020408164</v>
      </c>
      <c r="L12" s="212">
        <f t="shared" si="3"/>
        <v>7694.7704081632655</v>
      </c>
      <c r="M12" s="212">
        <f t="shared" si="3"/>
        <v>7640.0510204081638</v>
      </c>
      <c r="N12" s="212">
        <f t="shared" si="3"/>
        <v>7543.2397959183672</v>
      </c>
      <c r="O12" s="212">
        <f t="shared" si="3"/>
        <v>7530.6122448979586</v>
      </c>
      <c r="P12" s="212">
        <f t="shared" si="3"/>
        <v>6757.6530612244896</v>
      </c>
      <c r="Q12" s="212">
        <f t="shared" si="3"/>
        <v>5459.3112244897966</v>
      </c>
      <c r="R12" s="212">
        <f t="shared" si="3"/>
        <v>6782.5255102040819</v>
      </c>
      <c r="S12" s="212">
        <f t="shared" si="3"/>
        <v>6053.5714285714284</v>
      </c>
      <c r="T12" s="212">
        <f t="shared" si="3"/>
        <v>4167.091836734694</v>
      </c>
    </row>
    <row r="14" spans="1:20" x14ac:dyDescent="0.2">
      <c r="A14" s="211" t="s">
        <v>347</v>
      </c>
    </row>
    <row r="15" spans="1:20" x14ac:dyDescent="0.2">
      <c r="A15" s="210">
        <v>12</v>
      </c>
      <c r="B15" s="210">
        <v>100</v>
      </c>
      <c r="C15" s="212">
        <v>38378</v>
      </c>
      <c r="E15" s="212">
        <f>E16/$B$16%</f>
        <v>33267.34693877551</v>
      </c>
      <c r="F15" s="212">
        <f>F16/$B$16%</f>
        <v>32808.163265306124</v>
      </c>
      <c r="G15" s="212">
        <f t="shared" ref="G15:T15" si="4">G16/$B$16%</f>
        <v>32655.102040816328</v>
      </c>
      <c r="H15" s="212">
        <f t="shared" si="4"/>
        <v>32410.204081632655</v>
      </c>
      <c r="I15" s="212">
        <f t="shared" si="4"/>
        <v>32042.857142857145</v>
      </c>
      <c r="J15" s="212">
        <f t="shared" si="4"/>
        <v>31910.204081632655</v>
      </c>
      <c r="K15" s="212">
        <f t="shared" si="4"/>
        <v>31889.795918367348</v>
      </c>
      <c r="L15" s="212">
        <f t="shared" si="4"/>
        <v>31693.87755102041</v>
      </c>
      <c r="M15" s="212">
        <f t="shared" si="4"/>
        <v>31402.040816326531</v>
      </c>
      <c r="N15" s="212">
        <f t="shared" si="4"/>
        <v>30885.714285714286</v>
      </c>
      <c r="O15" s="212">
        <f t="shared" si="4"/>
        <v>30818.367346938776</v>
      </c>
      <c r="P15" s="212">
        <f t="shared" si="4"/>
        <v>26695.918367346938</v>
      </c>
      <c r="Q15" s="212">
        <f t="shared" si="4"/>
        <v>19771.428571428572</v>
      </c>
      <c r="R15" s="212">
        <f t="shared" si="4"/>
        <v>26828.571428571428</v>
      </c>
      <c r="S15" s="212">
        <f t="shared" si="4"/>
        <v>22940.816326530614</v>
      </c>
      <c r="T15" s="212">
        <f t="shared" si="4"/>
        <v>12879.591836734695</v>
      </c>
    </row>
    <row r="16" spans="1:20" x14ac:dyDescent="0.2">
      <c r="B16" s="210">
        <v>49</v>
      </c>
      <c r="C16" s="213">
        <v>18805</v>
      </c>
      <c r="E16" s="212">
        <f>$C$16-E4</f>
        <v>16301</v>
      </c>
      <c r="F16" s="212">
        <f>$C$16-F4</f>
        <v>16076</v>
      </c>
      <c r="G16" s="212">
        <f t="shared" ref="G16:T16" si="5">$C$16-G4</f>
        <v>16001</v>
      </c>
      <c r="H16" s="212">
        <f t="shared" si="5"/>
        <v>15881</v>
      </c>
      <c r="I16" s="213">
        <f t="shared" si="5"/>
        <v>15701</v>
      </c>
      <c r="J16" s="212">
        <f t="shared" si="5"/>
        <v>15636</v>
      </c>
      <c r="K16" s="212">
        <f t="shared" si="5"/>
        <v>15626</v>
      </c>
      <c r="L16" s="212">
        <f t="shared" si="5"/>
        <v>15530</v>
      </c>
      <c r="M16" s="212">
        <f t="shared" si="5"/>
        <v>15387</v>
      </c>
      <c r="N16" s="212">
        <f t="shared" si="5"/>
        <v>15134</v>
      </c>
      <c r="O16" s="212">
        <f t="shared" si="5"/>
        <v>15101</v>
      </c>
      <c r="P16" s="212">
        <f t="shared" si="5"/>
        <v>13081</v>
      </c>
      <c r="Q16" s="212">
        <f t="shared" si="5"/>
        <v>9688</v>
      </c>
      <c r="R16" s="212">
        <f t="shared" si="5"/>
        <v>13146</v>
      </c>
      <c r="S16" s="212">
        <f t="shared" si="5"/>
        <v>11241</v>
      </c>
      <c r="T16" s="212">
        <f t="shared" si="5"/>
        <v>6311</v>
      </c>
    </row>
    <row r="17" spans="1:20" x14ac:dyDescent="0.2">
      <c r="B17" s="210">
        <v>25</v>
      </c>
      <c r="C17" s="212">
        <v>9675</v>
      </c>
      <c r="E17" s="212">
        <f>E15*$B$17%</f>
        <v>8316.8367346938776</v>
      </c>
      <c r="F17" s="212">
        <f>F15*$B$17%</f>
        <v>8202.0408163265311</v>
      </c>
      <c r="G17" s="212">
        <f t="shared" ref="G17:S17" si="6">G15*$B$17%</f>
        <v>8163.7755102040819</v>
      </c>
      <c r="H17" s="212">
        <f t="shared" si="6"/>
        <v>8102.5510204081638</v>
      </c>
      <c r="I17" s="212">
        <f t="shared" si="6"/>
        <v>8010.7142857142862</v>
      </c>
      <c r="J17" s="212">
        <f t="shared" si="6"/>
        <v>7977.5510204081638</v>
      </c>
      <c r="K17" s="212">
        <f t="shared" si="6"/>
        <v>7972.4489795918371</v>
      </c>
      <c r="L17" s="212">
        <f t="shared" si="6"/>
        <v>7923.4693877551026</v>
      </c>
      <c r="M17" s="212">
        <f t="shared" si="6"/>
        <v>7850.5102040816328</v>
      </c>
      <c r="N17" s="212">
        <f t="shared" si="6"/>
        <v>7721.4285714285716</v>
      </c>
      <c r="O17" s="212">
        <f t="shared" si="6"/>
        <v>7704.591836734694</v>
      </c>
      <c r="P17" s="212">
        <f t="shared" si="6"/>
        <v>6673.9795918367345</v>
      </c>
      <c r="Q17" s="212">
        <f t="shared" si="6"/>
        <v>4942.8571428571431</v>
      </c>
      <c r="R17" s="212">
        <f t="shared" si="6"/>
        <v>6707.1428571428569</v>
      </c>
      <c r="S17" s="212">
        <f t="shared" si="6"/>
        <v>5735.2040816326535</v>
      </c>
    </row>
    <row r="19" spans="1:20" x14ac:dyDescent="0.2">
      <c r="A19" s="210">
        <v>9</v>
      </c>
      <c r="B19" s="210">
        <v>100</v>
      </c>
      <c r="C19" s="212">
        <f>C15/12*9</f>
        <v>28783.5</v>
      </c>
      <c r="E19" s="212">
        <f t="shared" ref="E19:T21" si="7">E15/12*9</f>
        <v>24950.510204081635</v>
      </c>
      <c r="F19" s="212">
        <f t="shared" si="7"/>
        <v>24606.122448979593</v>
      </c>
      <c r="G19" s="212">
        <f t="shared" si="7"/>
        <v>24491.326530612245</v>
      </c>
      <c r="H19" s="212">
        <f t="shared" si="7"/>
        <v>24307.65306122449</v>
      </c>
      <c r="I19" s="212">
        <f t="shared" si="7"/>
        <v>24032.142857142859</v>
      </c>
      <c r="J19" s="212">
        <f t="shared" si="7"/>
        <v>23932.65306122449</v>
      </c>
      <c r="K19" s="212">
        <f t="shared" si="7"/>
        <v>23917.34693877551</v>
      </c>
      <c r="L19" s="212">
        <f t="shared" si="7"/>
        <v>23770.408163265307</v>
      </c>
      <c r="M19" s="212">
        <f t="shared" si="7"/>
        <v>23551.530612244896</v>
      </c>
      <c r="N19" s="212">
        <f t="shared" si="7"/>
        <v>23164.285714285714</v>
      </c>
      <c r="O19" s="212">
        <f t="shared" si="7"/>
        <v>23113.775510204083</v>
      </c>
      <c r="P19" s="212">
        <f t="shared" si="7"/>
        <v>20021.938775510203</v>
      </c>
      <c r="Q19" s="212">
        <f t="shared" si="7"/>
        <v>14828.571428571429</v>
      </c>
      <c r="R19" s="212">
        <f t="shared" si="7"/>
        <v>20121.428571428572</v>
      </c>
      <c r="S19" s="212">
        <f t="shared" si="7"/>
        <v>17205.612244897959</v>
      </c>
      <c r="T19" s="212">
        <f t="shared" si="7"/>
        <v>9659.6938775510225</v>
      </c>
    </row>
    <row r="20" spans="1:20" x14ac:dyDescent="0.2">
      <c r="B20" s="210">
        <v>49</v>
      </c>
      <c r="C20" s="212">
        <f>C16/12*9</f>
        <v>14103.75</v>
      </c>
      <c r="E20" s="212">
        <f>E16/12*9</f>
        <v>12225.75</v>
      </c>
      <c r="F20" s="212">
        <f>F16/12*9</f>
        <v>12057</v>
      </c>
      <c r="G20" s="212">
        <f t="shared" si="7"/>
        <v>12000.75</v>
      </c>
      <c r="H20" s="212">
        <f t="shared" si="7"/>
        <v>11910.75</v>
      </c>
      <c r="I20" s="212">
        <f t="shared" si="7"/>
        <v>11775.75</v>
      </c>
      <c r="J20" s="212">
        <f t="shared" si="7"/>
        <v>11727</v>
      </c>
      <c r="K20" s="212">
        <f t="shared" si="7"/>
        <v>11719.5</v>
      </c>
      <c r="L20" s="212">
        <f t="shared" si="7"/>
        <v>11647.5</v>
      </c>
      <c r="M20" s="212">
        <f t="shared" si="7"/>
        <v>11540.25</v>
      </c>
      <c r="N20" s="212">
        <f t="shared" si="7"/>
        <v>11350.5</v>
      </c>
      <c r="O20" s="212">
        <f t="shared" si="7"/>
        <v>11325.75</v>
      </c>
      <c r="P20" s="212">
        <f t="shared" si="7"/>
        <v>9810.75</v>
      </c>
      <c r="Q20" s="212">
        <f t="shared" si="7"/>
        <v>7266</v>
      </c>
      <c r="R20" s="212">
        <f t="shared" si="7"/>
        <v>9859.5</v>
      </c>
      <c r="S20" s="212">
        <f t="shared" si="7"/>
        <v>8430.75</v>
      </c>
      <c r="T20" s="212">
        <f t="shared" si="7"/>
        <v>4733.25</v>
      </c>
    </row>
    <row r="21" spans="1:20" x14ac:dyDescent="0.2">
      <c r="B21" s="210">
        <v>25</v>
      </c>
      <c r="C21" s="212">
        <f>C17/12*9</f>
        <v>7256.25</v>
      </c>
      <c r="E21" s="212">
        <f>E17/12*9</f>
        <v>6237.6275510204086</v>
      </c>
      <c r="F21" s="212">
        <f>F17/12*9</f>
        <v>6151.5306122448983</v>
      </c>
      <c r="G21" s="212">
        <f t="shared" si="7"/>
        <v>6122.8316326530612</v>
      </c>
      <c r="H21" s="212">
        <f t="shared" si="7"/>
        <v>6076.9132653061224</v>
      </c>
      <c r="I21" s="212">
        <f t="shared" si="7"/>
        <v>6008.0357142857147</v>
      </c>
      <c r="J21" s="212">
        <f t="shared" si="7"/>
        <v>5983.1632653061224</v>
      </c>
      <c r="K21" s="212">
        <f t="shared" si="7"/>
        <v>5979.3367346938776</v>
      </c>
      <c r="L21" s="212">
        <f t="shared" si="7"/>
        <v>5942.6020408163267</v>
      </c>
      <c r="M21" s="212">
        <f t="shared" si="7"/>
        <v>5887.8826530612241</v>
      </c>
      <c r="N21" s="212">
        <f t="shared" si="7"/>
        <v>5791.0714285714284</v>
      </c>
      <c r="O21" s="212">
        <f t="shared" si="7"/>
        <v>5778.4438775510207</v>
      </c>
      <c r="P21" s="212">
        <f t="shared" si="7"/>
        <v>5005.4846938775509</v>
      </c>
      <c r="Q21" s="212">
        <f t="shared" si="7"/>
        <v>3707.1428571428573</v>
      </c>
      <c r="R21" s="212">
        <f t="shared" si="7"/>
        <v>5030.3571428571431</v>
      </c>
      <c r="S21" s="212">
        <f t="shared" si="7"/>
        <v>4301.4030612244896</v>
      </c>
    </row>
    <row r="24" spans="1:20" x14ac:dyDescent="0.2">
      <c r="A24" s="211" t="s">
        <v>347</v>
      </c>
    </row>
    <row r="25" spans="1:20" x14ac:dyDescent="0.2">
      <c r="A25" s="214" t="s">
        <v>348</v>
      </c>
    </row>
    <row r="26" spans="1:20" x14ac:dyDescent="0.2">
      <c r="A26" s="210">
        <v>12</v>
      </c>
      <c r="B26" s="210">
        <v>100</v>
      </c>
      <c r="C26" s="212">
        <f>C27/B27%</f>
        <v>32155.102040816328</v>
      </c>
      <c r="M26" s="212">
        <f>M27/$B$16%</f>
        <v>31402.040816326531</v>
      </c>
    </row>
    <row r="27" spans="1:20" x14ac:dyDescent="0.2">
      <c r="B27" s="210">
        <v>49</v>
      </c>
      <c r="C27" s="212">
        <v>15756</v>
      </c>
      <c r="M27" s="212">
        <f>$C$16-M4</f>
        <v>15387</v>
      </c>
    </row>
    <row r="28" spans="1:20" x14ac:dyDescent="0.2">
      <c r="B28" s="210">
        <v>25</v>
      </c>
      <c r="C28" s="212">
        <f>C26*B28%</f>
        <v>8038.7755102040819</v>
      </c>
      <c r="M28" s="212">
        <f>M26*$B$17%</f>
        <v>7850.5102040816328</v>
      </c>
    </row>
    <row r="30" spans="1:20" x14ac:dyDescent="0.2">
      <c r="A30" s="210">
        <v>9</v>
      </c>
      <c r="B30" s="210">
        <v>100</v>
      </c>
      <c r="C30" s="212">
        <f>C26/12*9</f>
        <v>24116.326530612245</v>
      </c>
      <c r="M30" s="212">
        <f t="shared" ref="M30:M31" si="8">M26/12*9</f>
        <v>23551.530612244896</v>
      </c>
    </row>
    <row r="31" spans="1:20" x14ac:dyDescent="0.2">
      <c r="B31" s="210">
        <v>49</v>
      </c>
      <c r="C31" s="212">
        <f>C27/12*9</f>
        <v>11817</v>
      </c>
      <c r="M31" s="212">
        <f t="shared" si="8"/>
        <v>11540.25</v>
      </c>
    </row>
    <row r="32" spans="1:20" x14ac:dyDescent="0.2">
      <c r="B32" s="210">
        <v>25</v>
      </c>
      <c r="C32" s="212">
        <f t="shared" ref="C32" si="9">C28/12*9</f>
        <v>6029.0816326530612</v>
      </c>
      <c r="M32" s="212">
        <f>M30*$B$17%</f>
        <v>5887.8826530612241</v>
      </c>
    </row>
    <row r="34" spans="1:14" x14ac:dyDescent="0.2">
      <c r="A34" s="211" t="s">
        <v>347</v>
      </c>
    </row>
    <row r="35" spans="1:14" x14ac:dyDescent="0.2">
      <c r="A35" s="214" t="s">
        <v>349</v>
      </c>
    </row>
    <row r="36" spans="1:14" x14ac:dyDescent="0.2">
      <c r="A36" s="210">
        <v>12</v>
      </c>
      <c r="B36" s="210">
        <v>100</v>
      </c>
      <c r="C36" s="212">
        <f>C37/B37%</f>
        <v>39591.836734693876</v>
      </c>
      <c r="N36" s="212">
        <f>N37/$B$16%</f>
        <v>32100</v>
      </c>
    </row>
    <row r="37" spans="1:14" x14ac:dyDescent="0.2">
      <c r="B37" s="210">
        <v>49</v>
      </c>
      <c r="C37" s="212">
        <v>19400</v>
      </c>
      <c r="N37" s="212">
        <f>$C$37-N4</f>
        <v>15729</v>
      </c>
    </row>
    <row r="38" spans="1:14" x14ac:dyDescent="0.2">
      <c r="B38" s="210">
        <v>25</v>
      </c>
      <c r="C38" s="212">
        <f>C36*B38%</f>
        <v>9897.9591836734689</v>
      </c>
      <c r="N38" s="212">
        <f>N36*$B$17%</f>
        <v>8025</v>
      </c>
    </row>
    <row r="41" spans="1:14" x14ac:dyDescent="0.2">
      <c r="A41" s="211" t="s">
        <v>347</v>
      </c>
    </row>
    <row r="42" spans="1:14" x14ac:dyDescent="0.2">
      <c r="A42" s="214" t="s">
        <v>350</v>
      </c>
    </row>
    <row r="43" spans="1:14" x14ac:dyDescent="0.2">
      <c r="A43" s="210">
        <v>9</v>
      </c>
      <c r="B43" s="210">
        <v>42</v>
      </c>
      <c r="C43" s="212">
        <v>11945</v>
      </c>
      <c r="E43" s="212">
        <f>C43-E4</f>
        <v>9441</v>
      </c>
    </row>
    <row r="46" spans="1:14" x14ac:dyDescent="0.2">
      <c r="A46" s="211" t="s">
        <v>347</v>
      </c>
    </row>
    <row r="47" spans="1:14" x14ac:dyDescent="0.2">
      <c r="A47" s="214" t="s">
        <v>351</v>
      </c>
    </row>
    <row r="48" spans="1:14" x14ac:dyDescent="0.2">
      <c r="A48" s="210">
        <v>12</v>
      </c>
      <c r="B48" s="210">
        <v>49</v>
      </c>
      <c r="C48" s="212">
        <v>11466</v>
      </c>
      <c r="G48" s="215">
        <v>8715</v>
      </c>
      <c r="H48" s="212" t="s">
        <v>352</v>
      </c>
    </row>
    <row r="49" spans="1:8" x14ac:dyDescent="0.2">
      <c r="A49" s="210">
        <v>9</v>
      </c>
      <c r="B49" s="210">
        <v>49</v>
      </c>
      <c r="C49" s="212">
        <v>8408</v>
      </c>
      <c r="G49" s="215">
        <f>G48/12*9</f>
        <v>6536.25</v>
      </c>
      <c r="H49" s="212" t="s">
        <v>352</v>
      </c>
    </row>
    <row r="59" spans="1:8" x14ac:dyDescent="0.2">
      <c r="G59" s="216">
        <v>0</v>
      </c>
    </row>
    <row r="60" spans="1:8" x14ac:dyDescent="0.2">
      <c r="G60" s="216">
        <v>1</v>
      </c>
    </row>
    <row r="61" spans="1:8" x14ac:dyDescent="0.2">
      <c r="G61" s="216">
        <v>2</v>
      </c>
    </row>
    <row r="62" spans="1:8" x14ac:dyDescent="0.2">
      <c r="G62" s="216">
        <v>3</v>
      </c>
    </row>
    <row r="63" spans="1:8" x14ac:dyDescent="0.2">
      <c r="G63" s="216">
        <v>4</v>
      </c>
    </row>
    <row r="64" spans="1:8" x14ac:dyDescent="0.2">
      <c r="G64" s="216">
        <v>5</v>
      </c>
    </row>
    <row r="65" spans="7:7" x14ac:dyDescent="0.2">
      <c r="G65" s="216">
        <v>6</v>
      </c>
    </row>
    <row r="66" spans="7:7" x14ac:dyDescent="0.2">
      <c r="G66" s="216">
        <v>7</v>
      </c>
    </row>
    <row r="67" spans="7:7" x14ac:dyDescent="0.2">
      <c r="G67" s="216">
        <v>8</v>
      </c>
    </row>
    <row r="68" spans="7:7" x14ac:dyDescent="0.2">
      <c r="G68" s="216">
        <v>9</v>
      </c>
    </row>
  </sheetData>
  <mergeCells count="1">
    <mergeCell ref="A4:C4"/>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pane xSplit="1" ySplit="2" topLeftCell="B3" activePane="bottomRight" state="frozen"/>
      <selection pane="topRight" activeCell="B1" sqref="B1"/>
      <selection pane="bottomLeft" activeCell="A3" sqref="A3"/>
      <selection pane="bottomRight" activeCell="F60" sqref="F60"/>
    </sheetView>
  </sheetViews>
  <sheetFormatPr defaultRowHeight="15" x14ac:dyDescent="0.25"/>
  <cols>
    <col min="1" max="1" width="52.5703125" bestFit="1" customWidth="1"/>
    <col min="2" max="2" width="18.5703125" customWidth="1"/>
    <col min="3" max="3" width="11.5703125" bestFit="1" customWidth="1"/>
    <col min="4" max="4" width="15.85546875" customWidth="1"/>
    <col min="5" max="5" width="10.85546875" customWidth="1"/>
    <col min="6" max="6" width="21.42578125" bestFit="1" customWidth="1"/>
    <col min="7" max="7" width="21.85546875" bestFit="1" customWidth="1"/>
    <col min="8" max="11" width="12.5703125" bestFit="1" customWidth="1"/>
    <col min="12" max="12" width="13.140625" bestFit="1" customWidth="1"/>
    <col min="13" max="13" width="7" bestFit="1" customWidth="1"/>
    <col min="14" max="14" width="11" bestFit="1" customWidth="1"/>
    <col min="15" max="16" width="9.85546875" bestFit="1" customWidth="1"/>
    <col min="17" max="17" width="7" bestFit="1" customWidth="1"/>
    <col min="18" max="18" width="11" bestFit="1" customWidth="1"/>
  </cols>
  <sheetData>
    <row r="1" spans="1:10" ht="18.75" x14ac:dyDescent="0.3">
      <c r="A1" s="217" t="s">
        <v>409</v>
      </c>
      <c r="B1" s="217"/>
      <c r="C1" s="217"/>
      <c r="D1" s="230"/>
      <c r="E1" s="233">
        <v>2400</v>
      </c>
      <c r="F1" s="231"/>
      <c r="G1" s="231"/>
      <c r="H1" s="231"/>
      <c r="I1" s="231"/>
      <c r="J1" s="231"/>
    </row>
    <row r="2" spans="1:10" ht="18.75" x14ac:dyDescent="0.3">
      <c r="A2" s="217" t="s">
        <v>410</v>
      </c>
      <c r="B2" s="217" t="s">
        <v>411</v>
      </c>
      <c r="C2" s="217" t="s">
        <v>412</v>
      </c>
      <c r="D2" s="230"/>
      <c r="E2" s="231"/>
      <c r="F2" s="231"/>
      <c r="G2" s="231"/>
      <c r="I2" s="231"/>
      <c r="J2" s="231"/>
    </row>
    <row r="3" spans="1:10" x14ac:dyDescent="0.25">
      <c r="A3" s="219" t="s">
        <v>354</v>
      </c>
      <c r="B3" s="220"/>
      <c r="C3" s="221"/>
    </row>
    <row r="4" spans="1:10" x14ac:dyDescent="0.25">
      <c r="A4" s="222" t="s">
        <v>355</v>
      </c>
      <c r="B4" s="232">
        <f t="shared" ref="B4:B15" si="0">+$E$1+C4</f>
        <v>5204</v>
      </c>
      <c r="C4" s="209">
        <v>2804</v>
      </c>
    </row>
    <row r="5" spans="1:10" x14ac:dyDescent="0.25">
      <c r="A5" s="222" t="s">
        <v>348</v>
      </c>
      <c r="B5" s="232">
        <f t="shared" si="0"/>
        <v>5818</v>
      </c>
      <c r="C5" s="209">
        <v>3418</v>
      </c>
    </row>
    <row r="6" spans="1:10" x14ac:dyDescent="0.25">
      <c r="A6" s="222" t="s">
        <v>356</v>
      </c>
      <c r="B6" s="232">
        <f t="shared" si="0"/>
        <v>5504</v>
      </c>
      <c r="C6" s="209">
        <v>3104</v>
      </c>
    </row>
    <row r="7" spans="1:10" x14ac:dyDescent="0.25">
      <c r="A7" s="222" t="s">
        <v>349</v>
      </c>
      <c r="B7" s="232">
        <f t="shared" si="0"/>
        <v>6071</v>
      </c>
      <c r="C7" s="209">
        <v>3671</v>
      </c>
    </row>
    <row r="8" spans="1:10" x14ac:dyDescent="0.25">
      <c r="A8" s="222" t="s">
        <v>357</v>
      </c>
      <c r="B8" s="232">
        <f t="shared" si="0"/>
        <v>5675</v>
      </c>
      <c r="C8" s="209">
        <v>3275</v>
      </c>
    </row>
    <row r="9" spans="1:10" x14ac:dyDescent="0.25">
      <c r="A9" s="222" t="s">
        <v>358</v>
      </c>
      <c r="B9" s="232">
        <f t="shared" si="0"/>
        <v>2400</v>
      </c>
      <c r="C9" s="223"/>
    </row>
    <row r="10" spans="1:10" x14ac:dyDescent="0.25">
      <c r="A10" s="222" t="s">
        <v>359</v>
      </c>
      <c r="B10" s="232">
        <f t="shared" si="0"/>
        <v>5204</v>
      </c>
      <c r="C10" s="209">
        <v>2804</v>
      </c>
    </row>
    <row r="11" spans="1:10" x14ac:dyDescent="0.25">
      <c r="A11" s="222" t="s">
        <v>413</v>
      </c>
      <c r="B11" s="232">
        <f t="shared" si="0"/>
        <v>5569</v>
      </c>
      <c r="C11" s="209">
        <v>3169</v>
      </c>
    </row>
    <row r="12" spans="1:10" x14ac:dyDescent="0.25">
      <c r="A12" s="222" t="s">
        <v>360</v>
      </c>
      <c r="B12" s="232">
        <f t="shared" si="0"/>
        <v>5204</v>
      </c>
      <c r="C12" s="209">
        <v>2804</v>
      </c>
    </row>
    <row r="13" spans="1:10" x14ac:dyDescent="0.25">
      <c r="A13" s="222" t="s">
        <v>361</v>
      </c>
      <c r="B13" s="232">
        <f t="shared" si="0"/>
        <v>5204</v>
      </c>
      <c r="C13" s="209">
        <v>2804</v>
      </c>
    </row>
    <row r="14" spans="1:10" x14ac:dyDescent="0.25">
      <c r="A14" s="222" t="s">
        <v>362</v>
      </c>
      <c r="B14" s="232">
        <f t="shared" si="0"/>
        <v>5818</v>
      </c>
      <c r="C14" s="209">
        <v>3418</v>
      </c>
    </row>
    <row r="15" spans="1:10" x14ac:dyDescent="0.25">
      <c r="A15" s="222" t="s">
        <v>363</v>
      </c>
      <c r="B15" s="232">
        <f t="shared" si="0"/>
        <v>5204</v>
      </c>
      <c r="C15" s="209">
        <v>2804</v>
      </c>
    </row>
    <row r="16" spans="1:10" ht="5.0999999999999996" customHeight="1" x14ac:dyDescent="0.25">
      <c r="A16" s="218"/>
      <c r="B16" s="224"/>
      <c r="C16" s="225"/>
    </row>
    <row r="17" spans="1:3" x14ac:dyDescent="0.25">
      <c r="A17" s="219" t="s">
        <v>364</v>
      </c>
      <c r="B17" s="220"/>
      <c r="C17" s="221"/>
    </row>
    <row r="18" spans="1:3" x14ac:dyDescent="0.25">
      <c r="A18" s="222" t="s">
        <v>365</v>
      </c>
      <c r="B18" s="232">
        <f t="shared" ref="B18:B25" si="1">+$E$1+C18</f>
        <v>6104</v>
      </c>
      <c r="C18" s="209">
        <v>3704</v>
      </c>
    </row>
    <row r="19" spans="1:3" x14ac:dyDescent="0.25">
      <c r="A19" s="222" t="s">
        <v>366</v>
      </c>
      <c r="B19" s="232">
        <f t="shared" si="1"/>
        <v>6104</v>
      </c>
      <c r="C19" s="209">
        <v>3704</v>
      </c>
    </row>
    <row r="20" spans="1:3" x14ac:dyDescent="0.25">
      <c r="A20" s="222" t="s">
        <v>367</v>
      </c>
      <c r="B20" s="232">
        <f t="shared" si="1"/>
        <v>6104</v>
      </c>
      <c r="C20" s="209">
        <v>3704</v>
      </c>
    </row>
    <row r="21" spans="1:3" x14ac:dyDescent="0.25">
      <c r="A21" s="222" t="s">
        <v>368</v>
      </c>
      <c r="B21" s="232">
        <f t="shared" si="1"/>
        <v>6104</v>
      </c>
      <c r="C21" s="209">
        <v>3704</v>
      </c>
    </row>
    <row r="22" spans="1:3" x14ac:dyDescent="0.25">
      <c r="A22" s="222" t="s">
        <v>369</v>
      </c>
      <c r="B22" s="232">
        <f t="shared" si="1"/>
        <v>6104</v>
      </c>
      <c r="C22" s="209">
        <v>3704</v>
      </c>
    </row>
    <row r="23" spans="1:3" x14ac:dyDescent="0.25">
      <c r="A23" s="222" t="s">
        <v>370</v>
      </c>
      <c r="B23" s="232">
        <f t="shared" si="1"/>
        <v>5504</v>
      </c>
      <c r="C23" s="209">
        <v>3104</v>
      </c>
    </row>
    <row r="24" spans="1:3" x14ac:dyDescent="0.25">
      <c r="A24" s="222" t="s">
        <v>371</v>
      </c>
      <c r="B24" s="232">
        <f t="shared" si="1"/>
        <v>6104</v>
      </c>
      <c r="C24" s="209">
        <v>3704</v>
      </c>
    </row>
    <row r="25" spans="1:3" x14ac:dyDescent="0.25">
      <c r="A25" s="222" t="s">
        <v>372</v>
      </c>
      <c r="B25" s="232">
        <f t="shared" si="1"/>
        <v>6104</v>
      </c>
      <c r="C25" s="209">
        <v>3704</v>
      </c>
    </row>
    <row r="26" spans="1:3" ht="5.0999999999999996" customHeight="1" x14ac:dyDescent="0.25">
      <c r="A26" s="218"/>
      <c r="B26" s="224"/>
      <c r="C26" s="225"/>
    </row>
    <row r="27" spans="1:3" x14ac:dyDescent="0.25">
      <c r="A27" s="219" t="s">
        <v>373</v>
      </c>
      <c r="B27" s="220"/>
      <c r="C27" s="221"/>
    </row>
    <row r="28" spans="1:3" x14ac:dyDescent="0.25">
      <c r="A28" s="222" t="s">
        <v>341</v>
      </c>
      <c r="B28" s="232">
        <f t="shared" ref="B28:B38" si="2">+$E$1+C28</f>
        <v>11517</v>
      </c>
      <c r="C28" s="209">
        <v>9117</v>
      </c>
    </row>
    <row r="29" spans="1:3" x14ac:dyDescent="0.25">
      <c r="A29" s="222" t="s">
        <v>374</v>
      </c>
      <c r="B29" s="232">
        <f t="shared" si="2"/>
        <v>5504</v>
      </c>
      <c r="C29" s="209">
        <v>3104</v>
      </c>
    </row>
    <row r="30" spans="1:3" x14ac:dyDescent="0.25">
      <c r="A30" s="222" t="s">
        <v>375</v>
      </c>
      <c r="B30" s="232">
        <f t="shared" si="2"/>
        <v>2400</v>
      </c>
      <c r="C30" s="223"/>
    </row>
    <row r="31" spans="1:3" x14ac:dyDescent="0.25">
      <c r="A31" s="222" t="s">
        <v>350</v>
      </c>
      <c r="B31" s="232">
        <f t="shared" si="2"/>
        <v>2400</v>
      </c>
      <c r="C31" s="223"/>
    </row>
    <row r="32" spans="1:3" x14ac:dyDescent="0.25">
      <c r="A32" s="222" t="s">
        <v>376</v>
      </c>
      <c r="B32" s="232">
        <f t="shared" si="2"/>
        <v>5204</v>
      </c>
      <c r="C32" s="209">
        <v>2804</v>
      </c>
    </row>
    <row r="33" spans="1:3" x14ac:dyDescent="0.25">
      <c r="A33" s="226" t="s">
        <v>377</v>
      </c>
      <c r="B33" s="232">
        <f t="shared" si="2"/>
        <v>2400</v>
      </c>
      <c r="C33" s="223"/>
    </row>
    <row r="34" spans="1:3" x14ac:dyDescent="0.25">
      <c r="A34" s="222" t="s">
        <v>378</v>
      </c>
      <c r="B34" s="232">
        <f t="shared" si="2"/>
        <v>2400</v>
      </c>
      <c r="C34" s="223"/>
    </row>
    <row r="35" spans="1:3" x14ac:dyDescent="0.25">
      <c r="A35" s="222" t="s">
        <v>379</v>
      </c>
      <c r="B35" s="232">
        <f t="shared" si="2"/>
        <v>2400</v>
      </c>
      <c r="C35" s="223"/>
    </row>
    <row r="36" spans="1:3" x14ac:dyDescent="0.25">
      <c r="A36" s="222" t="s">
        <v>380</v>
      </c>
      <c r="B36" s="232">
        <f t="shared" si="2"/>
        <v>6104</v>
      </c>
      <c r="C36" s="209">
        <v>3704</v>
      </c>
    </row>
    <row r="37" spans="1:3" x14ac:dyDescent="0.25">
      <c r="A37" s="226" t="s">
        <v>381</v>
      </c>
      <c r="B37" s="232">
        <f t="shared" si="2"/>
        <v>2400</v>
      </c>
      <c r="C37" s="223"/>
    </row>
    <row r="38" spans="1:3" x14ac:dyDescent="0.25">
      <c r="A38" s="222" t="s">
        <v>382</v>
      </c>
      <c r="B38" s="232">
        <f t="shared" si="2"/>
        <v>2400</v>
      </c>
      <c r="C38" s="223"/>
    </row>
    <row r="39" spans="1:3" ht="5.0999999999999996" customHeight="1" x14ac:dyDescent="0.25">
      <c r="A39" s="218"/>
      <c r="B39" s="224"/>
      <c r="C39" s="225"/>
    </row>
    <row r="40" spans="1:3" x14ac:dyDescent="0.25">
      <c r="A40" s="219" t="s">
        <v>383</v>
      </c>
      <c r="B40" s="220"/>
      <c r="C40" s="221"/>
    </row>
    <row r="41" spans="1:3" x14ac:dyDescent="0.25">
      <c r="A41" s="222" t="s">
        <v>384</v>
      </c>
      <c r="B41" s="232">
        <f>+$E$1+C41</f>
        <v>2400</v>
      </c>
      <c r="C41" s="234"/>
    </row>
    <row r="42" spans="1:3" x14ac:dyDescent="0.25">
      <c r="A42" s="222" t="s">
        <v>385</v>
      </c>
      <c r="B42" s="232">
        <f>+$E$1+C42</f>
        <v>2400</v>
      </c>
      <c r="C42" s="234"/>
    </row>
    <row r="43" spans="1:3" x14ac:dyDescent="0.25">
      <c r="A43" s="222" t="s">
        <v>386</v>
      </c>
      <c r="B43" s="232">
        <f>+$E$1+C43</f>
        <v>6071</v>
      </c>
      <c r="C43" s="209">
        <v>3671</v>
      </c>
    </row>
    <row r="44" spans="1:3" x14ac:dyDescent="0.25">
      <c r="A44" s="222" t="s">
        <v>387</v>
      </c>
      <c r="B44" s="232">
        <f>+$E$1+C44</f>
        <v>2400</v>
      </c>
      <c r="C44" s="234"/>
    </row>
    <row r="45" spans="1:3" x14ac:dyDescent="0.25">
      <c r="A45" s="219" t="s">
        <v>388</v>
      </c>
      <c r="B45" s="220"/>
      <c r="C45" s="221"/>
    </row>
    <row r="46" spans="1:3" ht="5.0999999999999996" customHeight="1" x14ac:dyDescent="0.25">
      <c r="A46" s="218"/>
      <c r="B46" s="224"/>
      <c r="C46" s="225"/>
    </row>
    <row r="47" spans="1:3" x14ac:dyDescent="0.25">
      <c r="A47" s="219" t="s">
        <v>389</v>
      </c>
      <c r="B47" s="220"/>
      <c r="C47" s="221"/>
    </row>
    <row r="48" spans="1:3" x14ac:dyDescent="0.25">
      <c r="A48" s="222" t="s">
        <v>389</v>
      </c>
      <c r="B48" s="232">
        <f>+$E$1+C48</f>
        <v>8124</v>
      </c>
      <c r="C48" s="209">
        <v>5724</v>
      </c>
    </row>
    <row r="49" spans="1:3" ht="5.0999999999999996" customHeight="1" x14ac:dyDescent="0.25">
      <c r="A49" s="218"/>
      <c r="B49" s="224"/>
      <c r="C49" s="225"/>
    </row>
    <row r="50" spans="1:3" x14ac:dyDescent="0.25">
      <c r="A50" s="219" t="s">
        <v>344</v>
      </c>
      <c r="B50" s="220"/>
      <c r="C50" s="221"/>
    </row>
    <row r="51" spans="1:3" x14ac:dyDescent="0.25">
      <c r="A51" s="218" t="s">
        <v>390</v>
      </c>
      <c r="B51" s="232">
        <f>+$E$1+C51</f>
        <v>14894</v>
      </c>
      <c r="C51" s="209">
        <v>12494</v>
      </c>
    </row>
    <row r="52" spans="1:3" x14ac:dyDescent="0.25">
      <c r="A52" s="31" t="s">
        <v>391</v>
      </c>
      <c r="B52" s="232">
        <f>+$E$1+C52</f>
        <v>14894</v>
      </c>
      <c r="C52" s="209">
        <v>12494</v>
      </c>
    </row>
    <row r="53" spans="1:3" ht="5.0999999999999996" customHeight="1" x14ac:dyDescent="0.25">
      <c r="A53" s="218"/>
      <c r="B53" s="224"/>
      <c r="C53" s="225"/>
    </row>
    <row r="54" spans="1:3" x14ac:dyDescent="0.25">
      <c r="A54" s="219" t="s">
        <v>392</v>
      </c>
      <c r="B54" s="220"/>
      <c r="C54" s="221"/>
    </row>
    <row r="55" spans="1:3" x14ac:dyDescent="0.25">
      <c r="A55" s="222" t="s">
        <v>392</v>
      </c>
      <c r="B55" s="232">
        <f>+$E$1+C55</f>
        <v>2400</v>
      </c>
      <c r="C55" s="223"/>
    </row>
    <row r="56" spans="1:3" x14ac:dyDescent="0.25">
      <c r="A56" s="222" t="s">
        <v>393</v>
      </c>
      <c r="B56" s="232">
        <f>+$E$1+C56</f>
        <v>2400</v>
      </c>
      <c r="C56" s="223"/>
    </row>
    <row r="57" spans="1:3" ht="5.0999999999999996" customHeight="1" x14ac:dyDescent="0.25">
      <c r="A57" s="218"/>
      <c r="B57" s="224"/>
      <c r="C57" s="225"/>
    </row>
    <row r="58" spans="1:3" x14ac:dyDescent="0.25">
      <c r="A58" s="219" t="s">
        <v>394</v>
      </c>
      <c r="B58" s="220"/>
      <c r="C58" s="221"/>
    </row>
    <row r="59" spans="1:3" x14ac:dyDescent="0.25">
      <c r="A59" s="222" t="s">
        <v>395</v>
      </c>
      <c r="B59" s="232">
        <f>+$E$1+C59</f>
        <v>2400</v>
      </c>
      <c r="C59" s="223"/>
    </row>
    <row r="60" spans="1:3" x14ac:dyDescent="0.25">
      <c r="A60" s="226" t="s">
        <v>396</v>
      </c>
      <c r="B60" s="232">
        <f>+$E$1+C60</f>
        <v>2400</v>
      </c>
      <c r="C60" s="223"/>
    </row>
    <row r="61" spans="1:3" x14ac:dyDescent="0.25">
      <c r="A61" s="226" t="s">
        <v>397</v>
      </c>
      <c r="B61" s="232">
        <f>+$E$1+C61</f>
        <v>2400</v>
      </c>
      <c r="C61" s="223"/>
    </row>
    <row r="62" spans="1:3" x14ac:dyDescent="0.25">
      <c r="A62" s="222" t="s">
        <v>398</v>
      </c>
      <c r="B62" s="232">
        <f>+$E$1+C62</f>
        <v>2400</v>
      </c>
      <c r="C62" s="223"/>
    </row>
    <row r="63" spans="1:3" x14ac:dyDescent="0.25">
      <c r="A63" s="222" t="s">
        <v>399</v>
      </c>
      <c r="B63" s="232">
        <f>+$E$1+C63</f>
        <v>2400</v>
      </c>
      <c r="C63" s="223"/>
    </row>
    <row r="64" spans="1:3" ht="5.0999999999999996" customHeight="1" x14ac:dyDescent="0.25">
      <c r="A64" s="218"/>
      <c r="B64" s="224"/>
      <c r="C64" s="225"/>
    </row>
    <row r="65" spans="1:3" x14ac:dyDescent="0.25">
      <c r="A65" s="219" t="s">
        <v>400</v>
      </c>
      <c r="B65" s="220"/>
      <c r="C65" s="221"/>
    </row>
    <row r="66" spans="1:3" x14ac:dyDescent="0.25">
      <c r="A66" s="222" t="s">
        <v>401</v>
      </c>
      <c r="B66" s="232">
        <f>+$E$1+C66</f>
        <v>2400</v>
      </c>
      <c r="C66" s="223"/>
    </row>
    <row r="67" spans="1:3" x14ac:dyDescent="0.25">
      <c r="A67" s="222" t="s">
        <v>402</v>
      </c>
      <c r="B67" s="232">
        <f>+$E$1+C67</f>
        <v>2400</v>
      </c>
      <c r="C67" s="223"/>
    </row>
    <row r="68" spans="1:3" x14ac:dyDescent="0.25">
      <c r="A68" s="222" t="s">
        <v>403</v>
      </c>
      <c r="B68" s="232">
        <f>+$E$1+C68</f>
        <v>2400</v>
      </c>
      <c r="C68" s="234"/>
    </row>
    <row r="69" spans="1:3" x14ac:dyDescent="0.25">
      <c r="A69" s="222" t="s">
        <v>404</v>
      </c>
      <c r="B69" s="232">
        <f>+$E$1+C69</f>
        <v>2400</v>
      </c>
      <c r="C69" s="223"/>
    </row>
    <row r="70" spans="1:3" ht="5.0999999999999996" customHeight="1" x14ac:dyDescent="0.25">
      <c r="A70" s="218"/>
      <c r="B70" s="224"/>
      <c r="C70" s="225"/>
    </row>
    <row r="71" spans="1:3" x14ac:dyDescent="0.25">
      <c r="A71" s="219" t="s">
        <v>405</v>
      </c>
      <c r="B71" s="220"/>
      <c r="C71" s="221"/>
    </row>
    <row r="72" spans="1:3" x14ac:dyDescent="0.25">
      <c r="A72" s="222" t="s">
        <v>406</v>
      </c>
      <c r="B72" s="232">
        <f>+$E$1+C72</f>
        <v>2400</v>
      </c>
      <c r="C72" s="223"/>
    </row>
    <row r="73" spans="1:3" s="10" customFormat="1" ht="5.0999999999999996" customHeight="1" x14ac:dyDescent="0.25">
      <c r="A73" s="227"/>
      <c r="B73" s="228"/>
      <c r="C73" s="229"/>
    </row>
    <row r="74" spans="1:3" x14ac:dyDescent="0.25">
      <c r="A74" s="219" t="s">
        <v>407</v>
      </c>
      <c r="B74" s="220"/>
      <c r="C74" s="221"/>
    </row>
    <row r="75" spans="1:3" x14ac:dyDescent="0.25">
      <c r="A75" s="218" t="s">
        <v>407</v>
      </c>
      <c r="B75" s="232">
        <f>+$E$1+C75</f>
        <v>2400</v>
      </c>
      <c r="C75" s="223"/>
    </row>
    <row r="76" spans="1:3" ht="5.0999999999999996" customHeight="1" x14ac:dyDescent="0.25">
      <c r="A76" s="218"/>
      <c r="B76" s="224"/>
      <c r="C76" s="225"/>
    </row>
    <row r="77" spans="1:3" x14ac:dyDescent="0.25">
      <c r="A77" s="219" t="s">
        <v>408</v>
      </c>
      <c r="B77" s="220"/>
      <c r="C77" s="221"/>
    </row>
    <row r="78" spans="1:3" x14ac:dyDescent="0.25">
      <c r="A78" s="222" t="s">
        <v>408</v>
      </c>
      <c r="B78" s="232">
        <f>+$E$1+C78</f>
        <v>2400</v>
      </c>
      <c r="C78" s="223"/>
    </row>
    <row r="79" spans="1:3" ht="5.0999999999999996" customHeight="1" x14ac:dyDescent="0.25">
      <c r="A79" s="218"/>
      <c r="B79" s="224"/>
      <c r="C79" s="22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A10" zoomScaleNormal="100" workbookViewId="0">
      <selection activeCell="P11" sqref="P11"/>
    </sheetView>
  </sheetViews>
  <sheetFormatPr defaultRowHeight="15" x14ac:dyDescent="0.25"/>
  <cols>
    <col min="1" max="1" width="34" customWidth="1"/>
    <col min="2" max="2" width="13.7109375" customWidth="1"/>
    <col min="3" max="3" width="9.7109375" customWidth="1"/>
    <col min="4" max="4" width="10.140625" customWidth="1"/>
    <col min="5" max="6" width="11" customWidth="1"/>
    <col min="7" max="7" width="9.140625" customWidth="1"/>
    <col min="8" max="9" width="11.42578125" customWidth="1"/>
    <col min="10" max="10" width="10.5703125" bestFit="1" customWidth="1"/>
    <col min="11" max="11" width="8.7109375" customWidth="1"/>
    <col min="12" max="12" width="9.140625" customWidth="1"/>
    <col min="13" max="13" width="8.85546875" customWidth="1"/>
    <col min="14" max="14" width="9.85546875" customWidth="1"/>
    <col min="15" max="15" width="10.7109375" customWidth="1"/>
    <col min="16" max="16" width="12.140625" customWidth="1"/>
    <col min="17" max="17" width="10.28515625" customWidth="1"/>
    <col min="18" max="18" width="11.5703125" bestFit="1" customWidth="1"/>
    <col min="19" max="21" width="10.5703125" bestFit="1" customWidth="1"/>
  </cols>
  <sheetData>
    <row r="1" spans="1:20" ht="21" hidden="1" x14ac:dyDescent="0.35">
      <c r="A1" s="340" t="s">
        <v>414</v>
      </c>
      <c r="B1" s="340"/>
      <c r="C1" s="340"/>
      <c r="D1" s="340"/>
      <c r="E1" s="340"/>
      <c r="F1" s="340"/>
      <c r="G1" s="340"/>
      <c r="H1" s="340"/>
      <c r="I1" s="340"/>
      <c r="J1" s="340"/>
      <c r="K1" s="340"/>
      <c r="L1" s="340"/>
      <c r="M1" s="340"/>
      <c r="N1" s="340"/>
      <c r="O1" s="340"/>
      <c r="P1" s="340"/>
      <c r="Q1" s="340"/>
      <c r="T1" s="252">
        <v>0</v>
      </c>
    </row>
    <row r="2" spans="1:20" hidden="1" x14ac:dyDescent="0.25"/>
    <row r="3" spans="1:20" hidden="1" x14ac:dyDescent="0.25">
      <c r="A3" s="380" t="s">
        <v>415</v>
      </c>
      <c r="B3" s="382"/>
    </row>
    <row r="4" spans="1:20" hidden="1" x14ac:dyDescent="0.25">
      <c r="A4" s="18" t="s">
        <v>416</v>
      </c>
      <c r="B4" s="235">
        <v>15</v>
      </c>
    </row>
    <row r="5" spans="1:20" hidden="1" x14ac:dyDescent="0.25">
      <c r="A5" s="18"/>
      <c r="B5" s="236"/>
    </row>
    <row r="6" spans="1:20" hidden="1" x14ac:dyDescent="0.25">
      <c r="A6" s="18" t="s">
        <v>417</v>
      </c>
      <c r="B6" s="237">
        <v>73.099999999999994</v>
      </c>
    </row>
    <row r="7" spans="1:20" hidden="1" x14ac:dyDescent="0.25">
      <c r="A7" s="18" t="s">
        <v>418</v>
      </c>
      <c r="B7" s="237">
        <v>93.8</v>
      </c>
    </row>
    <row r="8" spans="1:20" ht="15.75" hidden="1" thickBot="1" x14ac:dyDescent="0.3">
      <c r="A8" s="21" t="s">
        <v>419</v>
      </c>
      <c r="B8" s="238" t="s">
        <v>420</v>
      </c>
    </row>
    <row r="9" spans="1:20" hidden="1" x14ac:dyDescent="0.25"/>
    <row r="10" spans="1:20" ht="15.75" x14ac:dyDescent="0.25">
      <c r="A10" s="396" t="s">
        <v>454</v>
      </c>
      <c r="B10" s="396"/>
      <c r="C10" s="396"/>
      <c r="D10" s="396"/>
      <c r="E10" s="396"/>
      <c r="F10" s="396"/>
      <c r="G10" s="396"/>
      <c r="H10" s="396"/>
      <c r="I10" s="396"/>
      <c r="J10" s="396"/>
      <c r="K10" s="396"/>
      <c r="L10" s="396"/>
      <c r="M10" s="396"/>
      <c r="N10" s="396"/>
      <c r="O10" s="396"/>
      <c r="P10" s="396"/>
      <c r="Q10" s="396"/>
    </row>
    <row r="11" spans="1:20" ht="51.75" x14ac:dyDescent="0.25">
      <c r="A11" s="239"/>
      <c r="B11" s="245" t="s">
        <v>423</v>
      </c>
      <c r="C11" s="240" t="s">
        <v>330</v>
      </c>
      <c r="D11" s="280" t="s">
        <v>481</v>
      </c>
      <c r="E11" s="268" t="s">
        <v>356</v>
      </c>
      <c r="F11" s="268" t="s">
        <v>498</v>
      </c>
      <c r="G11" s="240" t="s">
        <v>332</v>
      </c>
      <c r="H11" s="240" t="s">
        <v>439</v>
      </c>
      <c r="I11" s="240" t="s">
        <v>440</v>
      </c>
      <c r="J11" s="240" t="s">
        <v>334</v>
      </c>
      <c r="K11" s="240" t="s">
        <v>335</v>
      </c>
      <c r="L11" s="240" t="s">
        <v>336</v>
      </c>
      <c r="M11" s="240" t="s">
        <v>337</v>
      </c>
      <c r="N11" s="240" t="s">
        <v>338</v>
      </c>
      <c r="O11" s="240" t="s">
        <v>453</v>
      </c>
      <c r="P11" s="240" t="s">
        <v>340</v>
      </c>
      <c r="Q11" s="240" t="s">
        <v>341</v>
      </c>
      <c r="R11" s="240" t="s">
        <v>344</v>
      </c>
    </row>
    <row r="12" spans="1:20" x14ac:dyDescent="0.25">
      <c r="A12" s="7" t="s">
        <v>421</v>
      </c>
      <c r="B12" s="241">
        <v>0</v>
      </c>
      <c r="C12" s="242">
        <v>20.25</v>
      </c>
      <c r="D12" s="242">
        <v>20.149999999999999</v>
      </c>
      <c r="E12" s="242">
        <v>25.63</v>
      </c>
      <c r="F12" s="242">
        <v>25</v>
      </c>
      <c r="G12" s="242">
        <v>28.2</v>
      </c>
      <c r="H12" s="242">
        <v>40.25</v>
      </c>
      <c r="I12" s="242">
        <v>40.25</v>
      </c>
      <c r="J12" s="242">
        <v>44.65</v>
      </c>
      <c r="K12" s="242">
        <v>67</v>
      </c>
      <c r="L12" s="242">
        <v>51.75</v>
      </c>
      <c r="M12" s="242">
        <v>61.35</v>
      </c>
      <c r="N12" s="242">
        <v>78.349999999999994</v>
      </c>
      <c r="O12" s="242">
        <v>80.55</v>
      </c>
      <c r="P12" s="242">
        <v>216.15</v>
      </c>
      <c r="Q12" s="242">
        <v>443.85</v>
      </c>
      <c r="R12" s="242">
        <v>198.95</v>
      </c>
      <c r="S12" s="243"/>
    </row>
    <row r="13" spans="1:20" x14ac:dyDescent="0.25">
      <c r="C13" s="119"/>
      <c r="D13" s="119"/>
      <c r="E13" s="119"/>
      <c r="F13" s="119"/>
      <c r="G13" s="119"/>
      <c r="H13" s="119"/>
      <c r="I13" s="119"/>
      <c r="J13" s="119"/>
      <c r="K13" s="119"/>
      <c r="L13" s="119"/>
      <c r="M13" s="119"/>
      <c r="N13" s="119"/>
      <c r="O13" s="119"/>
      <c r="P13" s="119"/>
      <c r="Q13" s="119"/>
      <c r="S13" s="119"/>
    </row>
    <row r="14" spans="1:20" x14ac:dyDescent="0.25">
      <c r="A14" t="s">
        <v>480</v>
      </c>
      <c r="B14" s="119">
        <f>ROUNDDOWN((($B$6+$B$7+B12)*$B$4+T1),0)</f>
        <v>2503</v>
      </c>
      <c r="C14" s="119">
        <f>ROUNDDOWN((($B$6+$B$7+C12)*$B$4+T1),0)</f>
        <v>2807</v>
      </c>
      <c r="D14" s="119">
        <f>ROUNDDOWN((($B$6+$B$7+D12)*$B$4+T1),0)</f>
        <v>2805</v>
      </c>
      <c r="E14" s="119">
        <v>2887</v>
      </c>
      <c r="F14" s="119">
        <f>+B14+(F12*15)</f>
        <v>2878</v>
      </c>
      <c r="G14" s="119">
        <f>ROUNDDOWN((($B$6+$B$7+G12)*$B$4+T1),0)</f>
        <v>2926</v>
      </c>
      <c r="H14" s="119">
        <f>ROUNDDOWN((($B$6+$B$7+H12)*$B$4+T1),0)</f>
        <v>3107</v>
      </c>
      <c r="I14" s="119">
        <f>ROUNDDOWN((($B$6+$B$7+I12)*$B$4+U1),0)</f>
        <v>3107</v>
      </c>
      <c r="J14" s="119">
        <f>ROUNDDOWN((($B$6+$B$7+J12)*$B$4+T1),0)</f>
        <v>3173</v>
      </c>
      <c r="K14" s="119">
        <f>ROUNDDOWN((($B$6+$B$7+K12)*$B$4+T1),0)</f>
        <v>3508</v>
      </c>
      <c r="L14" s="119">
        <f>ROUNDDOWN((($B$6+$B$7+L12)*$B$4+T1),0)</f>
        <v>3279</v>
      </c>
      <c r="M14" s="119">
        <f>ROUNDDOWN((($B$6+$B$7+M12)*$B$4+T1),0)</f>
        <v>3423</v>
      </c>
      <c r="N14" s="119">
        <f>ROUNDDOWN((($B$6+$B$7+N12)*$B$4+T1),0)</f>
        <v>3678</v>
      </c>
      <c r="O14" s="119">
        <f>ROUNDDOWN((($B$6+$B$7+O12)*$B$4+T1),0)</f>
        <v>3711</v>
      </c>
      <c r="P14" s="119">
        <f>ROUNDDOWN((($B$6+$B$7+P12)*$B$4+T1),0)</f>
        <v>5745</v>
      </c>
      <c r="Q14" s="119">
        <f>ROUNDDOWN((($B$6+$B$7+Q12)*$B$4+T1),0)</f>
        <v>9161</v>
      </c>
      <c r="R14" s="119">
        <f>ROUNDDOWN((($B$6+$B$7+R12)*$B$4+AC1),0)</f>
        <v>5487</v>
      </c>
      <c r="S14" s="119"/>
    </row>
    <row r="15" spans="1:20" x14ac:dyDescent="0.25">
      <c r="A15" t="s">
        <v>425</v>
      </c>
      <c r="B15" s="119">
        <v>3400</v>
      </c>
      <c r="C15" s="119">
        <v>3400</v>
      </c>
      <c r="D15" s="119">
        <v>3400</v>
      </c>
      <c r="E15" s="119">
        <v>3400</v>
      </c>
      <c r="F15" s="119">
        <v>3400</v>
      </c>
      <c r="G15" s="119">
        <v>3400</v>
      </c>
      <c r="H15" s="119">
        <v>3400</v>
      </c>
      <c r="I15" s="119">
        <v>3400</v>
      </c>
      <c r="J15" s="119">
        <v>3400</v>
      </c>
      <c r="K15" s="119">
        <v>3400</v>
      </c>
      <c r="L15" s="119">
        <v>3400</v>
      </c>
      <c r="M15" s="119">
        <v>3400</v>
      </c>
      <c r="N15" s="119">
        <v>3400</v>
      </c>
      <c r="O15" s="119">
        <v>3400</v>
      </c>
      <c r="P15" s="119">
        <v>3400</v>
      </c>
      <c r="Q15" s="119">
        <v>3400</v>
      </c>
      <c r="R15" s="119">
        <v>3400</v>
      </c>
      <c r="S15" s="119"/>
    </row>
    <row r="16" spans="1:20" x14ac:dyDescent="0.25">
      <c r="A16" s="5" t="s">
        <v>426</v>
      </c>
      <c r="B16" s="246">
        <f>SUM(B14:B15)</f>
        <v>5903</v>
      </c>
      <c r="C16" s="246">
        <f t="shared" ref="C16:R16" si="0">SUM(C14:C15)</f>
        <v>6207</v>
      </c>
      <c r="D16" s="246">
        <f t="shared" si="0"/>
        <v>6205</v>
      </c>
      <c r="E16" s="246">
        <f t="shared" si="0"/>
        <v>6287</v>
      </c>
      <c r="F16" s="246">
        <f t="shared" si="0"/>
        <v>6278</v>
      </c>
      <c r="G16" s="246">
        <f t="shared" si="0"/>
        <v>6326</v>
      </c>
      <c r="H16" s="246">
        <f t="shared" si="0"/>
        <v>6507</v>
      </c>
      <c r="I16" s="246">
        <f t="shared" ref="I16" si="1">SUM(I14:I15)</f>
        <v>6507</v>
      </c>
      <c r="J16" s="246">
        <f t="shared" si="0"/>
        <v>6573</v>
      </c>
      <c r="K16" s="246">
        <f t="shared" si="0"/>
        <v>6908</v>
      </c>
      <c r="L16" s="246">
        <f t="shared" si="0"/>
        <v>6679</v>
      </c>
      <c r="M16" s="246">
        <f t="shared" si="0"/>
        <v>6823</v>
      </c>
      <c r="N16" s="246">
        <f t="shared" si="0"/>
        <v>7078</v>
      </c>
      <c r="O16" s="246">
        <f t="shared" si="0"/>
        <v>7111</v>
      </c>
      <c r="P16" s="246">
        <f t="shared" si="0"/>
        <v>9145</v>
      </c>
      <c r="Q16" s="246">
        <f t="shared" si="0"/>
        <v>12561</v>
      </c>
      <c r="R16" s="246">
        <f t="shared" si="0"/>
        <v>8887</v>
      </c>
      <c r="S16" s="119"/>
    </row>
    <row r="17" spans="1:19" x14ac:dyDescent="0.25">
      <c r="A17" s="244"/>
      <c r="B17" s="244"/>
      <c r="C17" s="244"/>
      <c r="D17" s="244"/>
      <c r="E17" s="244"/>
      <c r="F17" s="244"/>
      <c r="G17" s="244"/>
      <c r="H17" s="244"/>
      <c r="I17" s="244"/>
      <c r="J17" s="244"/>
      <c r="K17" s="244"/>
      <c r="L17" s="244"/>
      <c r="M17" s="244"/>
      <c r="N17" s="244"/>
      <c r="O17" s="244"/>
      <c r="P17" s="244"/>
      <c r="Q17" s="244"/>
      <c r="R17" s="244"/>
    </row>
    <row r="18" spans="1:19" x14ac:dyDescent="0.25">
      <c r="A18" s="10"/>
      <c r="B18" s="10"/>
      <c r="C18" s="10"/>
      <c r="D18" s="10"/>
      <c r="E18" s="10"/>
      <c r="F18" s="10"/>
      <c r="G18" s="10"/>
      <c r="H18" s="10"/>
      <c r="I18" s="10"/>
      <c r="J18" s="10"/>
      <c r="K18" s="10"/>
      <c r="L18" s="10"/>
      <c r="M18" s="10"/>
      <c r="N18" s="10"/>
      <c r="O18" s="10"/>
      <c r="P18" s="10"/>
      <c r="Q18" s="10"/>
    </row>
    <row r="19" spans="1:19" x14ac:dyDescent="0.25">
      <c r="A19" t="s">
        <v>422</v>
      </c>
    </row>
    <row r="20" spans="1:19" hidden="1" x14ac:dyDescent="0.25">
      <c r="H20" s="183" t="s">
        <v>434</v>
      </c>
      <c r="I20" s="183" t="s">
        <v>434</v>
      </c>
      <c r="J20" s="183" t="s">
        <v>435</v>
      </c>
    </row>
    <row r="21" spans="1:19" hidden="1" x14ac:dyDescent="0.25">
      <c r="C21" t="s">
        <v>427</v>
      </c>
      <c r="H21" s="251">
        <v>0.46</v>
      </c>
      <c r="I21" s="251">
        <v>0.46</v>
      </c>
      <c r="J21" s="250">
        <f>+$J$14*H21</f>
        <v>1459.5800000000002</v>
      </c>
    </row>
    <row r="22" spans="1:19" hidden="1" x14ac:dyDescent="0.25">
      <c r="C22" t="s">
        <v>428</v>
      </c>
      <c r="H22" s="251">
        <v>0.34499999999999997</v>
      </c>
      <c r="I22" s="251">
        <v>0.34499999999999997</v>
      </c>
      <c r="J22" s="250">
        <f>+$J$14*H22</f>
        <v>1094.6849999999999</v>
      </c>
    </row>
    <row r="23" spans="1:19" hidden="1" x14ac:dyDescent="0.25">
      <c r="C23" t="s">
        <v>429</v>
      </c>
      <c r="H23" s="251">
        <v>0.28999999999999998</v>
      </c>
      <c r="I23" s="251">
        <v>0.28999999999999998</v>
      </c>
      <c r="J23" s="250">
        <f t="shared" ref="J23:J27" si="2">+$J$14*H23</f>
        <v>920.17</v>
      </c>
    </row>
    <row r="24" spans="1:19" hidden="1" x14ac:dyDescent="0.25">
      <c r="C24" t="s">
        <v>430</v>
      </c>
      <c r="H24" s="251">
        <f>+H21*0.6</f>
        <v>0.27600000000000002</v>
      </c>
      <c r="I24" s="251">
        <f>+I21*0.6</f>
        <v>0.27600000000000002</v>
      </c>
      <c r="J24" s="250">
        <f t="shared" si="2"/>
        <v>875.74800000000005</v>
      </c>
    </row>
    <row r="25" spans="1:19" hidden="1" x14ac:dyDescent="0.25">
      <c r="C25" t="s">
        <v>431</v>
      </c>
      <c r="H25" s="251">
        <v>0.1</v>
      </c>
      <c r="I25" s="251">
        <v>0.1</v>
      </c>
      <c r="J25" s="250">
        <f t="shared" si="2"/>
        <v>317.3</v>
      </c>
    </row>
    <row r="26" spans="1:19" hidden="1" x14ac:dyDescent="0.25">
      <c r="C26" t="s">
        <v>432</v>
      </c>
      <c r="H26" s="251">
        <v>0.08</v>
      </c>
      <c r="I26" s="251">
        <v>0.08</v>
      </c>
      <c r="J26" s="250">
        <f t="shared" si="2"/>
        <v>253.84</v>
      </c>
    </row>
    <row r="27" spans="1:19" hidden="1" x14ac:dyDescent="0.25">
      <c r="C27" t="s">
        <v>433</v>
      </c>
      <c r="H27" s="251">
        <v>0</v>
      </c>
      <c r="I27" s="251">
        <v>0</v>
      </c>
      <c r="J27" s="250">
        <f t="shared" si="2"/>
        <v>0</v>
      </c>
    </row>
    <row r="29" spans="1:19" x14ac:dyDescent="0.25">
      <c r="A29" t="s">
        <v>436</v>
      </c>
      <c r="B29">
        <v>1.04</v>
      </c>
    </row>
    <row r="32" spans="1:19" x14ac:dyDescent="0.25">
      <c r="A32" t="s">
        <v>17</v>
      </c>
      <c r="B32" s="50">
        <f>+B16</f>
        <v>5903</v>
      </c>
      <c r="C32" s="50">
        <f t="shared" ref="C32:R32" si="3">+C16</f>
        <v>6207</v>
      </c>
      <c r="D32" s="50">
        <f t="shared" si="3"/>
        <v>6205</v>
      </c>
      <c r="E32" s="50">
        <f t="shared" ref="E32:F32" si="4">+E16</f>
        <v>6287</v>
      </c>
      <c r="F32" s="50">
        <f t="shared" si="4"/>
        <v>6278</v>
      </c>
      <c r="G32" s="50">
        <f t="shared" si="3"/>
        <v>6326</v>
      </c>
      <c r="H32" s="50">
        <f t="shared" si="3"/>
        <v>6507</v>
      </c>
      <c r="I32" s="50">
        <f t="shared" ref="I32" si="5">+I16</f>
        <v>6507</v>
      </c>
      <c r="J32" s="50">
        <f t="shared" si="3"/>
        <v>6573</v>
      </c>
      <c r="K32" s="50">
        <f t="shared" si="3"/>
        <v>6908</v>
      </c>
      <c r="L32" s="50">
        <f t="shared" si="3"/>
        <v>6679</v>
      </c>
      <c r="M32" s="50">
        <f t="shared" si="3"/>
        <v>6823</v>
      </c>
      <c r="N32" s="50">
        <f t="shared" si="3"/>
        <v>7078</v>
      </c>
      <c r="O32" s="50">
        <f t="shared" si="3"/>
        <v>7111</v>
      </c>
      <c r="P32" s="50">
        <f t="shared" si="3"/>
        <v>9145</v>
      </c>
      <c r="Q32" s="50">
        <f t="shared" si="3"/>
        <v>12561</v>
      </c>
      <c r="R32" s="50">
        <f t="shared" si="3"/>
        <v>8887</v>
      </c>
      <c r="S32">
        <v>22</v>
      </c>
    </row>
    <row r="33" spans="1:19" x14ac:dyDescent="0.25">
      <c r="A33" t="s">
        <v>18</v>
      </c>
      <c r="B33" s="119">
        <f t="shared" ref="B33:B40" si="6">+ROUNDDOWN(B32*$B$29,0)</f>
        <v>6139</v>
      </c>
      <c r="C33" s="119">
        <f t="shared" ref="C33:R40" si="7">+ROUNDDOWN(C32*$B$29,0)</f>
        <v>6455</v>
      </c>
      <c r="D33" s="119">
        <f t="shared" si="7"/>
        <v>6453</v>
      </c>
      <c r="E33" s="119">
        <f t="shared" ref="E33" si="8">+ROUNDDOWN(E32*$B$29,0)</f>
        <v>6538</v>
      </c>
      <c r="F33" s="119">
        <f>+ROUNDDOWN(F32*$B$29,0)</f>
        <v>6529</v>
      </c>
      <c r="G33" s="119">
        <f t="shared" si="7"/>
        <v>6579</v>
      </c>
      <c r="H33" s="119">
        <f t="shared" si="7"/>
        <v>6767</v>
      </c>
      <c r="I33" s="119">
        <f t="shared" ref="I33" si="9">+ROUNDDOWN(I32*$B$29,0)</f>
        <v>6767</v>
      </c>
      <c r="J33" s="119">
        <f t="shared" si="7"/>
        <v>6835</v>
      </c>
      <c r="K33" s="119">
        <f t="shared" si="7"/>
        <v>7184</v>
      </c>
      <c r="L33" s="119">
        <f t="shared" si="7"/>
        <v>6946</v>
      </c>
      <c r="M33" s="119">
        <f t="shared" si="7"/>
        <v>7095</v>
      </c>
      <c r="N33" s="119">
        <f t="shared" si="7"/>
        <v>7361</v>
      </c>
      <c r="O33" s="119">
        <f t="shared" si="7"/>
        <v>7395</v>
      </c>
      <c r="P33" s="119">
        <f t="shared" si="7"/>
        <v>9510</v>
      </c>
      <c r="Q33" s="119">
        <f t="shared" si="7"/>
        <v>13063</v>
      </c>
      <c r="R33" s="119">
        <f t="shared" si="7"/>
        <v>9242</v>
      </c>
      <c r="S33">
        <v>23</v>
      </c>
    </row>
    <row r="34" spans="1:19" x14ac:dyDescent="0.25">
      <c r="A34" t="s">
        <v>19</v>
      </c>
      <c r="B34" s="119">
        <f t="shared" si="6"/>
        <v>6384</v>
      </c>
      <c r="C34" s="119">
        <f t="shared" si="7"/>
        <v>6713</v>
      </c>
      <c r="D34" s="119">
        <f t="shared" si="7"/>
        <v>6711</v>
      </c>
      <c r="E34" s="119">
        <f t="shared" ref="E34:F38" si="10">+ROUNDDOWN(E33*$B$29,0)</f>
        <v>6799</v>
      </c>
      <c r="F34" s="119">
        <f t="shared" si="10"/>
        <v>6790</v>
      </c>
      <c r="G34" s="119">
        <f t="shared" si="7"/>
        <v>6842</v>
      </c>
      <c r="H34" s="119">
        <f t="shared" si="7"/>
        <v>7037</v>
      </c>
      <c r="I34" s="119">
        <f t="shared" ref="I34" si="11">+ROUNDDOWN(I33*$B$29,0)</f>
        <v>7037</v>
      </c>
      <c r="J34" s="119">
        <f t="shared" si="7"/>
        <v>7108</v>
      </c>
      <c r="K34" s="119">
        <f t="shared" si="7"/>
        <v>7471</v>
      </c>
      <c r="L34" s="119">
        <f t="shared" si="7"/>
        <v>7223</v>
      </c>
      <c r="M34" s="119">
        <f t="shared" si="7"/>
        <v>7378</v>
      </c>
      <c r="N34" s="119">
        <f t="shared" si="7"/>
        <v>7655</v>
      </c>
      <c r="O34" s="119">
        <f t="shared" si="7"/>
        <v>7690</v>
      </c>
      <c r="P34" s="119">
        <f t="shared" si="7"/>
        <v>9890</v>
      </c>
      <c r="Q34" s="119">
        <f t="shared" si="7"/>
        <v>13585</v>
      </c>
      <c r="R34" s="119">
        <f t="shared" si="7"/>
        <v>9611</v>
      </c>
      <c r="S34">
        <v>24</v>
      </c>
    </row>
    <row r="35" spans="1:19" x14ac:dyDescent="0.25">
      <c r="A35" t="s">
        <v>20</v>
      </c>
      <c r="B35" s="119">
        <f t="shared" si="6"/>
        <v>6639</v>
      </c>
      <c r="C35" s="119">
        <f t="shared" si="7"/>
        <v>6981</v>
      </c>
      <c r="D35" s="119">
        <f t="shared" si="7"/>
        <v>6979</v>
      </c>
      <c r="E35" s="119">
        <f t="shared" ref="E35" si="12">+ROUNDDOWN(E34*$B$29,0)</f>
        <v>7070</v>
      </c>
      <c r="F35" s="119">
        <f t="shared" si="10"/>
        <v>7061</v>
      </c>
      <c r="G35" s="119">
        <f t="shared" si="7"/>
        <v>7115</v>
      </c>
      <c r="H35" s="119">
        <f t="shared" si="7"/>
        <v>7318</v>
      </c>
      <c r="I35" s="119">
        <f t="shared" ref="I35" si="13">+ROUNDDOWN(I34*$B$29,0)</f>
        <v>7318</v>
      </c>
      <c r="J35" s="119">
        <f t="shared" si="7"/>
        <v>7392</v>
      </c>
      <c r="K35" s="119">
        <f t="shared" si="7"/>
        <v>7769</v>
      </c>
      <c r="L35" s="119">
        <f t="shared" si="7"/>
        <v>7511</v>
      </c>
      <c r="M35" s="119">
        <f t="shared" si="7"/>
        <v>7673</v>
      </c>
      <c r="N35" s="119">
        <f t="shared" si="7"/>
        <v>7961</v>
      </c>
      <c r="O35" s="119">
        <f t="shared" si="7"/>
        <v>7997</v>
      </c>
      <c r="P35" s="119">
        <f t="shared" si="7"/>
        <v>10285</v>
      </c>
      <c r="Q35" s="119">
        <f t="shared" si="7"/>
        <v>14128</v>
      </c>
      <c r="R35" s="119">
        <f t="shared" si="7"/>
        <v>9995</v>
      </c>
      <c r="S35">
        <v>25</v>
      </c>
    </row>
    <row r="36" spans="1:19" x14ac:dyDescent="0.25">
      <c r="A36" t="s">
        <v>21</v>
      </c>
      <c r="B36" s="119">
        <f t="shared" si="6"/>
        <v>6904</v>
      </c>
      <c r="C36" s="119">
        <f t="shared" si="7"/>
        <v>7260</v>
      </c>
      <c r="D36" s="119">
        <f t="shared" si="7"/>
        <v>7258</v>
      </c>
      <c r="E36" s="119">
        <f t="shared" ref="E36" si="14">+ROUNDDOWN(E35*$B$29,0)</f>
        <v>7352</v>
      </c>
      <c r="F36" s="119">
        <f t="shared" si="10"/>
        <v>7343</v>
      </c>
      <c r="G36" s="119">
        <f t="shared" si="7"/>
        <v>7399</v>
      </c>
      <c r="H36" s="119">
        <f t="shared" si="7"/>
        <v>7610</v>
      </c>
      <c r="I36" s="119">
        <f t="shared" ref="I36" si="15">+ROUNDDOWN(I35*$B$29,0)</f>
        <v>7610</v>
      </c>
      <c r="J36" s="119">
        <f t="shared" si="7"/>
        <v>7687</v>
      </c>
      <c r="K36" s="119">
        <f t="shared" si="7"/>
        <v>8079</v>
      </c>
      <c r="L36" s="119">
        <f t="shared" si="7"/>
        <v>7811</v>
      </c>
      <c r="M36" s="119">
        <f t="shared" si="7"/>
        <v>7979</v>
      </c>
      <c r="N36" s="119">
        <f t="shared" si="7"/>
        <v>8279</v>
      </c>
      <c r="O36" s="119">
        <f t="shared" si="7"/>
        <v>8316</v>
      </c>
      <c r="P36" s="119">
        <f t="shared" si="7"/>
        <v>10696</v>
      </c>
      <c r="Q36" s="119">
        <f t="shared" si="7"/>
        <v>14693</v>
      </c>
      <c r="R36" s="119">
        <f t="shared" si="7"/>
        <v>10394</v>
      </c>
      <c r="S36">
        <v>26</v>
      </c>
    </row>
    <row r="37" spans="1:19" x14ac:dyDescent="0.25">
      <c r="A37" t="s">
        <v>22</v>
      </c>
      <c r="B37" s="119">
        <f t="shared" si="6"/>
        <v>7180</v>
      </c>
      <c r="C37" s="119">
        <f t="shared" si="7"/>
        <v>7550</v>
      </c>
      <c r="D37" s="119">
        <f t="shared" si="7"/>
        <v>7548</v>
      </c>
      <c r="E37" s="119">
        <f t="shared" ref="E37" si="16">+ROUNDDOWN(E36*$B$29,0)</f>
        <v>7646</v>
      </c>
      <c r="F37" s="119">
        <f t="shared" si="10"/>
        <v>7636</v>
      </c>
      <c r="G37" s="119">
        <f t="shared" si="7"/>
        <v>7694</v>
      </c>
      <c r="H37" s="119">
        <f t="shared" si="7"/>
        <v>7914</v>
      </c>
      <c r="I37" s="119">
        <f t="shared" ref="I37" si="17">+ROUNDDOWN(I36*$B$29,0)</f>
        <v>7914</v>
      </c>
      <c r="J37" s="119">
        <f t="shared" si="7"/>
        <v>7994</v>
      </c>
      <c r="K37" s="119">
        <f t="shared" si="7"/>
        <v>8402</v>
      </c>
      <c r="L37" s="119">
        <f t="shared" si="7"/>
        <v>8123</v>
      </c>
      <c r="M37" s="119">
        <f t="shared" si="7"/>
        <v>8298</v>
      </c>
      <c r="N37" s="119">
        <f t="shared" si="7"/>
        <v>8610</v>
      </c>
      <c r="O37" s="119">
        <f t="shared" si="7"/>
        <v>8648</v>
      </c>
      <c r="P37" s="119">
        <f t="shared" si="7"/>
        <v>11123</v>
      </c>
      <c r="Q37" s="119">
        <f t="shared" si="7"/>
        <v>15280</v>
      </c>
      <c r="R37" s="119">
        <f t="shared" si="7"/>
        <v>10809</v>
      </c>
      <c r="S37">
        <v>27</v>
      </c>
    </row>
    <row r="38" spans="1:19" x14ac:dyDescent="0.25">
      <c r="A38" t="s">
        <v>456</v>
      </c>
      <c r="B38" s="119">
        <f t="shared" si="6"/>
        <v>7467</v>
      </c>
      <c r="C38" s="119">
        <f t="shared" si="7"/>
        <v>7852</v>
      </c>
      <c r="D38" s="119">
        <f t="shared" si="7"/>
        <v>7849</v>
      </c>
      <c r="E38" s="119">
        <f t="shared" ref="E38" si="18">+ROUNDDOWN(E37*$B$29,0)</f>
        <v>7951</v>
      </c>
      <c r="F38" s="119">
        <f t="shared" si="10"/>
        <v>7941</v>
      </c>
      <c r="G38" s="119">
        <f t="shared" si="7"/>
        <v>8001</v>
      </c>
      <c r="H38" s="119">
        <f t="shared" si="7"/>
        <v>8230</v>
      </c>
      <c r="I38" s="119">
        <f t="shared" ref="I38" si="19">+ROUNDDOWN(I37*$B$29,0)</f>
        <v>8230</v>
      </c>
      <c r="J38" s="119">
        <f t="shared" si="7"/>
        <v>8313</v>
      </c>
      <c r="K38" s="119">
        <f t="shared" si="7"/>
        <v>8738</v>
      </c>
      <c r="L38" s="119">
        <f t="shared" si="7"/>
        <v>8447</v>
      </c>
      <c r="M38" s="119">
        <f t="shared" si="7"/>
        <v>8629</v>
      </c>
      <c r="N38" s="119">
        <f t="shared" si="7"/>
        <v>8954</v>
      </c>
      <c r="O38" s="119">
        <f t="shared" si="7"/>
        <v>8993</v>
      </c>
      <c r="P38" s="119">
        <f t="shared" si="7"/>
        <v>11567</v>
      </c>
      <c r="Q38" s="119">
        <f t="shared" si="7"/>
        <v>15891</v>
      </c>
      <c r="R38" s="119">
        <f t="shared" si="7"/>
        <v>11241</v>
      </c>
      <c r="S38">
        <v>28</v>
      </c>
    </row>
    <row r="39" spans="1:19" x14ac:dyDescent="0.25">
      <c r="A39" t="s">
        <v>457</v>
      </c>
      <c r="B39" s="119">
        <f t="shared" si="6"/>
        <v>7765</v>
      </c>
      <c r="C39" s="119">
        <f t="shared" si="7"/>
        <v>8166</v>
      </c>
      <c r="D39" s="119">
        <f t="shared" si="7"/>
        <v>8162</v>
      </c>
      <c r="E39" s="119">
        <f t="shared" ref="E39" si="20">+ROUNDDOWN(E38*$B$29,0)</f>
        <v>8269</v>
      </c>
      <c r="G39" s="119">
        <f t="shared" si="7"/>
        <v>8321</v>
      </c>
      <c r="H39" s="119">
        <f t="shared" si="7"/>
        <v>8559</v>
      </c>
      <c r="I39" s="119">
        <f t="shared" ref="I39" si="21">+ROUNDDOWN(I38*$B$29,0)</f>
        <v>8559</v>
      </c>
      <c r="J39" s="119">
        <f t="shared" si="7"/>
        <v>8645</v>
      </c>
      <c r="K39" s="119">
        <f t="shared" si="7"/>
        <v>9087</v>
      </c>
      <c r="L39" s="119">
        <f t="shared" si="7"/>
        <v>8784</v>
      </c>
      <c r="M39" s="119">
        <f t="shared" si="7"/>
        <v>8974</v>
      </c>
      <c r="N39" s="119">
        <f t="shared" si="7"/>
        <v>9312</v>
      </c>
      <c r="O39" s="119">
        <f t="shared" si="7"/>
        <v>9352</v>
      </c>
      <c r="P39" s="119">
        <f t="shared" si="7"/>
        <v>12029</v>
      </c>
      <c r="Q39" s="119">
        <f t="shared" si="7"/>
        <v>16526</v>
      </c>
      <c r="R39" s="119">
        <f t="shared" si="7"/>
        <v>11690</v>
      </c>
      <c r="S39">
        <v>29</v>
      </c>
    </row>
    <row r="40" spans="1:19" x14ac:dyDescent="0.25">
      <c r="A40" t="s">
        <v>25</v>
      </c>
      <c r="B40" s="119">
        <f t="shared" si="6"/>
        <v>8075</v>
      </c>
      <c r="C40" s="119">
        <f t="shared" si="7"/>
        <v>8492</v>
      </c>
      <c r="D40" s="119">
        <f t="shared" si="7"/>
        <v>8488</v>
      </c>
      <c r="E40" s="119">
        <f t="shared" ref="E40" si="22">+ROUNDDOWN(E39*$B$29,0)</f>
        <v>8599</v>
      </c>
      <c r="G40" s="119">
        <f t="shared" si="7"/>
        <v>8653</v>
      </c>
      <c r="H40" s="119">
        <f t="shared" si="7"/>
        <v>8901</v>
      </c>
      <c r="I40" s="119">
        <f t="shared" ref="I40" si="23">+ROUNDDOWN(I39*$B$29,0)</f>
        <v>8901</v>
      </c>
      <c r="J40" s="119">
        <f t="shared" si="7"/>
        <v>8990</v>
      </c>
      <c r="K40" s="119">
        <f t="shared" si="7"/>
        <v>9450</v>
      </c>
      <c r="L40" s="119">
        <f t="shared" si="7"/>
        <v>9135</v>
      </c>
      <c r="M40" s="119">
        <f t="shared" si="7"/>
        <v>9332</v>
      </c>
      <c r="N40" s="119">
        <f t="shared" si="7"/>
        <v>9684</v>
      </c>
      <c r="O40" s="119">
        <f t="shared" si="7"/>
        <v>9726</v>
      </c>
      <c r="P40" s="119">
        <f t="shared" si="7"/>
        <v>12510</v>
      </c>
      <c r="Q40" s="119">
        <f t="shared" si="7"/>
        <v>17187</v>
      </c>
      <c r="R40" s="119">
        <f t="shared" si="7"/>
        <v>12157</v>
      </c>
      <c r="S40">
        <v>30</v>
      </c>
    </row>
  </sheetData>
  <sheetProtection algorithmName="SHA-512" hashValue="0bffbQpcLZZANRMod8SqFWrYllDtKV+A4v8lEFOAxGGdO/MiQtuPmhLeRVQ5oMz7rt32v+Xm6OmyCMaPQqs8qw==" saltValue="nPWTbv8e8p1pV9ZVYX74wg==" spinCount="100000" sheet="1" objects="1" scenarios="1"/>
  <mergeCells count="3">
    <mergeCell ref="A1:Q1"/>
    <mergeCell ref="A3:B3"/>
    <mergeCell ref="A10:Q10"/>
  </mergeCells>
  <pageMargins left="0.7" right="0.7" top="0.75" bottom="0.75" header="0.3" footer="0.3"/>
  <pageSetup scale="5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workbookViewId="0">
      <selection activeCell="R2" sqref="R2"/>
    </sheetView>
  </sheetViews>
  <sheetFormatPr defaultColWidth="8.85546875" defaultRowHeight="12" x14ac:dyDescent="0.2"/>
  <cols>
    <col min="1" max="1" width="5.7109375" style="1" customWidth="1"/>
    <col min="2" max="2" width="6.140625" style="1" bestFit="1" customWidth="1"/>
    <col min="3" max="3" width="1" style="275" customWidth="1"/>
    <col min="4" max="5" width="8.85546875" style="276"/>
    <col min="6" max="6" width="10.7109375" style="276" bestFit="1" customWidth="1"/>
    <col min="7" max="8" width="9.85546875" style="276" customWidth="1"/>
    <col min="9" max="9" width="11.28515625" style="276" customWidth="1"/>
    <col min="10" max="11" width="10" style="276" customWidth="1"/>
    <col min="12" max="12" width="8.85546875" style="276"/>
    <col min="13" max="13" width="10.140625" style="276" bestFit="1" customWidth="1"/>
    <col min="14" max="14" width="8.140625" style="276" customWidth="1"/>
    <col min="15" max="18" width="8.85546875" style="276"/>
    <col min="19" max="19" width="2.140625" style="276" customWidth="1"/>
    <col min="20" max="20" width="10.140625" style="276" customWidth="1"/>
    <col min="21" max="21" width="2.140625" style="276" customWidth="1"/>
    <col min="22" max="22" width="11.5703125" style="276" customWidth="1"/>
    <col min="23" max="16384" width="8.85546875" style="1"/>
  </cols>
  <sheetData>
    <row r="1" spans="1:25" s="269" customFormat="1" x14ac:dyDescent="0.2">
      <c r="A1" s="269" t="s">
        <v>438</v>
      </c>
      <c r="C1" s="270"/>
      <c r="D1" s="271">
        <v>1</v>
      </c>
      <c r="E1" s="271">
        <v>2</v>
      </c>
      <c r="F1" s="271">
        <v>3</v>
      </c>
      <c r="G1" s="271">
        <v>4</v>
      </c>
      <c r="H1" s="271"/>
      <c r="I1" s="271">
        <v>5</v>
      </c>
      <c r="J1" s="271">
        <v>6</v>
      </c>
      <c r="K1" s="271">
        <v>6</v>
      </c>
      <c r="L1" s="271">
        <v>7</v>
      </c>
      <c r="M1" s="271">
        <v>8</v>
      </c>
      <c r="N1" s="271">
        <v>9</v>
      </c>
      <c r="O1" s="271">
        <v>10</v>
      </c>
      <c r="P1" s="271">
        <v>11</v>
      </c>
      <c r="Q1" s="271">
        <v>12</v>
      </c>
      <c r="R1" s="271">
        <v>13</v>
      </c>
      <c r="S1" s="271"/>
      <c r="T1" s="271">
        <v>14</v>
      </c>
      <c r="U1" s="271"/>
      <c r="V1" s="271">
        <v>15</v>
      </c>
      <c r="X1" s="269" t="s">
        <v>455</v>
      </c>
      <c r="Y1" s="279">
        <v>42835</v>
      </c>
    </row>
    <row r="2" spans="1:25" s="272" customFormat="1" ht="58.9" customHeight="1" x14ac:dyDescent="0.2">
      <c r="A2" s="272" t="s">
        <v>327</v>
      </c>
      <c r="B2" s="272" t="s">
        <v>328</v>
      </c>
      <c r="C2" s="273"/>
      <c r="D2" s="274" t="s">
        <v>423</v>
      </c>
      <c r="E2" s="274" t="s">
        <v>330</v>
      </c>
      <c r="F2" s="274" t="s">
        <v>481</v>
      </c>
      <c r="G2" s="274" t="s">
        <v>356</v>
      </c>
      <c r="H2" s="272" t="s">
        <v>498</v>
      </c>
      <c r="I2" s="205" t="s">
        <v>332</v>
      </c>
      <c r="J2" s="274" t="s">
        <v>439</v>
      </c>
      <c r="K2" s="274" t="s">
        <v>440</v>
      </c>
      <c r="L2" s="274" t="s">
        <v>334</v>
      </c>
      <c r="M2" s="274" t="s">
        <v>335</v>
      </c>
      <c r="N2" s="274" t="s">
        <v>441</v>
      </c>
      <c r="O2" s="274" t="s">
        <v>337</v>
      </c>
      <c r="P2" s="274" t="s">
        <v>338</v>
      </c>
      <c r="Q2" s="240" t="s">
        <v>453</v>
      </c>
      <c r="R2" s="240" t="s">
        <v>340</v>
      </c>
      <c r="S2" s="274"/>
      <c r="T2" s="274" t="s">
        <v>341</v>
      </c>
      <c r="U2" s="274"/>
      <c r="V2" s="274" t="s">
        <v>344</v>
      </c>
    </row>
    <row r="3" spans="1:25" ht="11.45" customHeight="1" x14ac:dyDescent="0.2"/>
    <row r="4" spans="1:25" ht="11.45" customHeight="1" x14ac:dyDescent="0.2">
      <c r="A4" s="277" t="s">
        <v>346</v>
      </c>
      <c r="V4" s="278" t="s">
        <v>442</v>
      </c>
    </row>
    <row r="5" spans="1:25" ht="11.45" customHeight="1" x14ac:dyDescent="0.2">
      <c r="A5" s="1">
        <v>12</v>
      </c>
      <c r="B5" s="1">
        <v>100</v>
      </c>
      <c r="D5" s="276">
        <v>44140.816326530614</v>
      </c>
      <c r="E5" s="276">
        <v>43681.632653061228</v>
      </c>
      <c r="F5" s="276">
        <v>43528.571428571428</v>
      </c>
      <c r="G5" s="276">
        <v>43404.081632653062</v>
      </c>
      <c r="H5" s="276">
        <f>+D5-(2503-(25*15))</f>
        <v>42012.816326530614</v>
      </c>
      <c r="I5" s="276">
        <v>43283.673469387759</v>
      </c>
      <c r="J5" s="276">
        <v>42916.326530612248</v>
      </c>
      <c r="K5" s="276">
        <f>K6/0.49</f>
        <v>54148.979591836738</v>
      </c>
      <c r="L5" s="276">
        <v>42783.673469387759</v>
      </c>
      <c r="M5" s="276">
        <v>40165</v>
      </c>
      <c r="N5" s="276">
        <v>42567.34693877551</v>
      </c>
      <c r="O5" s="276">
        <v>42275.510204081635</v>
      </c>
      <c r="P5" s="276">
        <v>41757.142857142855</v>
      </c>
      <c r="Q5" s="276">
        <v>40165</v>
      </c>
      <c r="R5" s="276">
        <v>37567.34693877551</v>
      </c>
      <c r="T5" s="276">
        <v>30642.857142857145</v>
      </c>
      <c r="V5" s="276">
        <v>43943</v>
      </c>
    </row>
    <row r="6" spans="1:25" ht="11.45" customHeight="1" x14ac:dyDescent="0.2">
      <c r="B6" s="1">
        <v>49</v>
      </c>
      <c r="D6" s="276">
        <v>21629</v>
      </c>
      <c r="E6" s="276">
        <v>21404</v>
      </c>
      <c r="F6" s="276">
        <v>21329</v>
      </c>
      <c r="G6" s="276">
        <v>21268</v>
      </c>
      <c r="H6" s="276">
        <f>+H5*0.49</f>
        <v>20586.28</v>
      </c>
      <c r="I6" s="276">
        <v>21209</v>
      </c>
      <c r="J6" s="276">
        <v>21029</v>
      </c>
      <c r="K6" s="276">
        <v>26533</v>
      </c>
      <c r="L6" s="276">
        <v>20964</v>
      </c>
      <c r="M6" s="276">
        <v>19681</v>
      </c>
      <c r="N6" s="276">
        <v>20858</v>
      </c>
      <c r="O6" s="276">
        <v>20715</v>
      </c>
      <c r="P6" s="276">
        <v>20461</v>
      </c>
      <c r="Q6" s="276">
        <v>19681</v>
      </c>
      <c r="R6" s="276">
        <v>18408</v>
      </c>
      <c r="T6" s="276">
        <v>15015</v>
      </c>
      <c r="V6" s="276">
        <v>21532</v>
      </c>
    </row>
    <row r="7" spans="1:25" ht="11.45" customHeight="1" x14ac:dyDescent="0.2">
      <c r="B7" s="1">
        <v>25</v>
      </c>
      <c r="D7" s="276">
        <v>11035.204081632653</v>
      </c>
      <c r="E7" s="276">
        <v>10920.408163265307</v>
      </c>
      <c r="F7" s="276">
        <v>10882.142857142857</v>
      </c>
      <c r="G7" s="276">
        <v>10851.020408163266</v>
      </c>
      <c r="H7" s="276">
        <f>+H5*0.25</f>
        <v>10503.204081632653</v>
      </c>
      <c r="I7" s="276">
        <v>10820.91836734694</v>
      </c>
      <c r="J7" s="276">
        <v>10729.081632653062</v>
      </c>
      <c r="K7" s="276">
        <f>K5*0.25</f>
        <v>13537.244897959185</v>
      </c>
      <c r="L7" s="276">
        <v>10695.91836734694</v>
      </c>
      <c r="M7" s="276">
        <v>10041.25</v>
      </c>
      <c r="N7" s="276">
        <v>10641.836734693878</v>
      </c>
      <c r="O7" s="276">
        <v>10568.877551020409</v>
      </c>
      <c r="P7" s="276">
        <v>10439.285714285714</v>
      </c>
      <c r="Q7" s="276">
        <v>10041.25</v>
      </c>
      <c r="R7" s="276">
        <v>9391.8367346938776</v>
      </c>
      <c r="T7" s="276">
        <v>7660.7142857142862</v>
      </c>
      <c r="V7" s="276">
        <v>10986</v>
      </c>
    </row>
    <row r="8" spans="1:25" ht="11.45" customHeight="1" x14ac:dyDescent="0.2">
      <c r="V8" s="278" t="s">
        <v>443</v>
      </c>
    </row>
    <row r="9" spans="1:25" ht="11.45" customHeight="1" x14ac:dyDescent="0.2">
      <c r="A9" s="1">
        <v>9</v>
      </c>
      <c r="B9" s="1">
        <v>100</v>
      </c>
      <c r="D9" s="276">
        <v>33105.612244897959</v>
      </c>
      <c r="E9" s="276">
        <v>32761.224489795921</v>
      </c>
      <c r="F9" s="276">
        <v>32646.428571428572</v>
      </c>
      <c r="G9" s="276">
        <v>32553.061224489797</v>
      </c>
      <c r="H9" s="276">
        <f>+D9-(2503-(25*15))</f>
        <v>30977.612244897959</v>
      </c>
      <c r="I9" s="276">
        <v>32462.755102040821</v>
      </c>
      <c r="J9" s="276">
        <v>32187.244897959186</v>
      </c>
      <c r="K9" s="276">
        <f>K10/0.49</f>
        <v>40612.244897959186</v>
      </c>
      <c r="L9" s="276">
        <v>32087.755102040817</v>
      </c>
      <c r="M9" s="276">
        <v>30123.75</v>
      </c>
      <c r="N9" s="276">
        <v>31925.510204081635</v>
      </c>
      <c r="O9" s="276">
        <v>31706.632653061224</v>
      </c>
      <c r="P9" s="276">
        <v>31317.857142857141</v>
      </c>
      <c r="Q9" s="276">
        <v>30123.75</v>
      </c>
      <c r="R9" s="276">
        <v>28175.510204081631</v>
      </c>
      <c r="T9" s="276">
        <v>22982.142857142859</v>
      </c>
      <c r="V9" s="276">
        <v>35780</v>
      </c>
    </row>
    <row r="10" spans="1:25" ht="11.45" customHeight="1" x14ac:dyDescent="0.2">
      <c r="B10" s="1">
        <v>49</v>
      </c>
      <c r="D10" s="276">
        <v>16221.75</v>
      </c>
      <c r="E10" s="276">
        <v>16053</v>
      </c>
      <c r="F10" s="276">
        <v>15996.75</v>
      </c>
      <c r="G10" s="276">
        <v>15951</v>
      </c>
      <c r="H10" s="276">
        <f>+H9*0.49</f>
        <v>15179.029999999999</v>
      </c>
      <c r="I10" s="276">
        <v>15906.75</v>
      </c>
      <c r="J10" s="276">
        <v>15771.75</v>
      </c>
      <c r="K10" s="276">
        <v>19900</v>
      </c>
      <c r="L10" s="276">
        <v>15723</v>
      </c>
      <c r="M10" s="276">
        <v>14760.75</v>
      </c>
      <c r="N10" s="276">
        <v>15643.5</v>
      </c>
      <c r="O10" s="276">
        <v>15536.25</v>
      </c>
      <c r="P10" s="276">
        <v>15345.75</v>
      </c>
      <c r="Q10" s="276">
        <v>14760.75</v>
      </c>
      <c r="R10" s="276">
        <v>13806</v>
      </c>
      <c r="T10" s="276">
        <v>11261.25</v>
      </c>
      <c r="V10" s="276">
        <v>17532</v>
      </c>
    </row>
    <row r="11" spans="1:25" ht="11.45" customHeight="1" x14ac:dyDescent="0.2">
      <c r="B11" s="1">
        <v>25</v>
      </c>
      <c r="D11" s="276">
        <v>8276.4030612244896</v>
      </c>
      <c r="E11" s="276">
        <v>8190.3061224489802</v>
      </c>
      <c r="F11" s="276">
        <v>8161.6071428571431</v>
      </c>
      <c r="G11" s="276">
        <v>8138.2653061224491</v>
      </c>
      <c r="H11" s="276">
        <f>+H9*0.25</f>
        <v>7744.4030612244896</v>
      </c>
      <c r="I11" s="276">
        <v>8115.6887755102052</v>
      </c>
      <c r="J11" s="276">
        <v>8046.8112244897966</v>
      </c>
      <c r="K11" s="276">
        <f>K9*0.25</f>
        <v>10153.061224489797</v>
      </c>
      <c r="L11" s="276">
        <v>8021.9387755102043</v>
      </c>
      <c r="M11" s="276">
        <v>7530.9375</v>
      </c>
      <c r="N11" s="276">
        <v>7981.3775510204086</v>
      </c>
      <c r="O11" s="276">
        <v>7926.658163265306</v>
      </c>
      <c r="P11" s="276">
        <v>7829.4642857142853</v>
      </c>
      <c r="Q11" s="276">
        <v>7530.9375</v>
      </c>
      <c r="R11" s="276">
        <v>7043.8775510204077</v>
      </c>
      <c r="T11" s="276">
        <v>5745.5357142857147</v>
      </c>
      <c r="V11" s="276">
        <v>8945</v>
      </c>
    </row>
    <row r="12" spans="1:25" ht="11.45" customHeight="1" x14ac:dyDescent="0.2"/>
    <row r="13" spans="1:25" ht="11.45" customHeight="1" x14ac:dyDescent="0.2">
      <c r="A13" s="277" t="s">
        <v>347</v>
      </c>
    </row>
    <row r="14" spans="1:25" ht="11.45" customHeight="1" x14ac:dyDescent="0.2">
      <c r="A14" s="1">
        <v>12</v>
      </c>
      <c r="B14" s="1">
        <v>100</v>
      </c>
      <c r="D14" s="276">
        <v>34497.959183673469</v>
      </c>
      <c r="E14" s="276">
        <v>34038.775510204083</v>
      </c>
      <c r="F14" s="276">
        <v>33885.71428571429</v>
      </c>
      <c r="G14" s="276">
        <v>33761.224489795917</v>
      </c>
      <c r="H14" s="276">
        <f>+D14-(2503-(25*15))</f>
        <v>32369.959183673469</v>
      </c>
      <c r="I14" s="276">
        <v>33640.816326530614</v>
      </c>
      <c r="J14" s="276">
        <v>33273.469387755104</v>
      </c>
      <c r="K14" s="276">
        <f>K15/0.49</f>
        <v>45714.285714285717</v>
      </c>
      <c r="L14" s="276">
        <v>33140.816326530614</v>
      </c>
      <c r="M14" s="276">
        <v>30820</v>
      </c>
      <c r="N14" s="276">
        <v>32924.489795918365</v>
      </c>
      <c r="O14" s="276">
        <v>32632.65306122449</v>
      </c>
      <c r="P14" s="276">
        <v>32114.285714285714</v>
      </c>
      <c r="Q14" s="276">
        <v>30820</v>
      </c>
      <c r="R14" s="276">
        <v>27924.489795918369</v>
      </c>
      <c r="T14" s="276">
        <v>21000</v>
      </c>
    </row>
    <row r="15" spans="1:25" ht="11.45" customHeight="1" x14ac:dyDescent="0.2">
      <c r="B15" s="1">
        <v>49</v>
      </c>
      <c r="D15" s="276">
        <v>16904</v>
      </c>
      <c r="E15" s="276">
        <v>16679</v>
      </c>
      <c r="F15" s="276">
        <v>16604</v>
      </c>
      <c r="G15" s="276">
        <v>16543</v>
      </c>
      <c r="H15" s="276">
        <f>+H14*0.49</f>
        <v>15861.279999999999</v>
      </c>
      <c r="I15" s="276">
        <v>16484</v>
      </c>
      <c r="J15" s="276">
        <v>16304</v>
      </c>
      <c r="K15" s="276">
        <v>22400</v>
      </c>
      <c r="L15" s="276">
        <v>16239</v>
      </c>
      <c r="M15" s="276">
        <v>15102</v>
      </c>
      <c r="N15" s="276">
        <v>16133</v>
      </c>
      <c r="O15" s="276">
        <v>15990</v>
      </c>
      <c r="P15" s="276">
        <v>15736</v>
      </c>
      <c r="Q15" s="276">
        <v>15102</v>
      </c>
      <c r="R15" s="276">
        <v>13683</v>
      </c>
      <c r="T15" s="276">
        <v>10290</v>
      </c>
    </row>
    <row r="16" spans="1:25" ht="11.45" customHeight="1" x14ac:dyDescent="0.2">
      <c r="B16" s="1">
        <v>25</v>
      </c>
      <c r="D16" s="276">
        <v>8624.4897959183672</v>
      </c>
      <c r="E16" s="276">
        <v>8509.6938775510207</v>
      </c>
      <c r="F16" s="276">
        <v>8471.4285714285725</v>
      </c>
      <c r="G16" s="276">
        <v>8440.3061224489793</v>
      </c>
      <c r="H16" s="276">
        <f>+H14*0.25</f>
        <v>8092.4897959183672</v>
      </c>
      <c r="I16" s="276">
        <v>8410.2040816326535</v>
      </c>
      <c r="J16" s="276">
        <v>8318.3673469387759</v>
      </c>
      <c r="K16" s="276">
        <f>K14*0.25</f>
        <v>11428.571428571429</v>
      </c>
      <c r="L16" s="276">
        <v>8285.2040816326535</v>
      </c>
      <c r="M16" s="276">
        <v>7705</v>
      </c>
      <c r="N16" s="276">
        <v>8231.1224489795914</v>
      </c>
      <c r="O16" s="276">
        <v>8158.1632653061224</v>
      </c>
      <c r="P16" s="276">
        <v>8028.5714285714284</v>
      </c>
      <c r="Q16" s="276">
        <v>7705</v>
      </c>
      <c r="R16" s="276">
        <v>6981.1224489795923</v>
      </c>
      <c r="T16" s="276">
        <v>5250</v>
      </c>
      <c r="U16" s="276" t="s">
        <v>444</v>
      </c>
    </row>
    <row r="17" spans="1:23" ht="11.45" customHeight="1" x14ac:dyDescent="0.2"/>
    <row r="18" spans="1:23" ht="11.45" customHeight="1" x14ac:dyDescent="0.2">
      <c r="A18" s="1">
        <v>9</v>
      </c>
      <c r="B18" s="1">
        <v>100</v>
      </c>
      <c r="D18" s="276">
        <v>25873.4693877551</v>
      </c>
      <c r="E18" s="276">
        <v>25529.081632653062</v>
      </c>
      <c r="F18" s="276">
        <v>25414.285714285717</v>
      </c>
      <c r="G18" s="276">
        <v>25320.918367346938</v>
      </c>
      <c r="H18" s="276">
        <f>+D18-(2503-(25*15))</f>
        <v>23745.4693877551</v>
      </c>
      <c r="I18" s="276">
        <v>25230.612244897959</v>
      </c>
      <c r="J18" s="276">
        <v>24955.102040816328</v>
      </c>
      <c r="K18" s="276">
        <f>K19/0.49</f>
        <v>34285.71428571429</v>
      </c>
      <c r="L18" s="276">
        <v>24855.612244897962</v>
      </c>
      <c r="M18" s="276">
        <v>23115</v>
      </c>
      <c r="N18" s="276">
        <v>24693.367346938772</v>
      </c>
      <c r="O18" s="276">
        <v>24474.489795918369</v>
      </c>
      <c r="P18" s="276">
        <v>24085.714285714286</v>
      </c>
      <c r="Q18" s="276">
        <v>23115</v>
      </c>
      <c r="R18" s="276">
        <v>20943.367346938776</v>
      </c>
      <c r="T18" s="276">
        <v>15750</v>
      </c>
    </row>
    <row r="19" spans="1:23" ht="11.45" customHeight="1" x14ac:dyDescent="0.2">
      <c r="B19" s="1">
        <v>49</v>
      </c>
      <c r="D19" s="276">
        <v>12678</v>
      </c>
      <c r="E19" s="276">
        <v>12509.25</v>
      </c>
      <c r="F19" s="276">
        <v>12453</v>
      </c>
      <c r="G19" s="276">
        <v>12407.25</v>
      </c>
      <c r="H19" s="276">
        <f>+H18*0.49</f>
        <v>11635.279999999999</v>
      </c>
      <c r="I19" s="276">
        <v>12363</v>
      </c>
      <c r="J19" s="276">
        <v>12228</v>
      </c>
      <c r="K19" s="276">
        <v>16800</v>
      </c>
      <c r="L19" s="276">
        <v>12179.25</v>
      </c>
      <c r="M19" s="276">
        <v>11326</v>
      </c>
      <c r="N19" s="276">
        <v>12099.75</v>
      </c>
      <c r="O19" s="276">
        <v>11992.5</v>
      </c>
      <c r="P19" s="276">
        <v>11802</v>
      </c>
      <c r="Q19" s="276">
        <v>11326</v>
      </c>
      <c r="R19" s="276">
        <v>10262.25</v>
      </c>
      <c r="T19" s="276">
        <v>7717.5</v>
      </c>
    </row>
    <row r="20" spans="1:23" ht="11.45" customHeight="1" x14ac:dyDescent="0.2">
      <c r="B20" s="1">
        <v>25</v>
      </c>
      <c r="D20" s="276">
        <v>6468.367346938775</v>
      </c>
      <c r="E20" s="276">
        <v>6382.2704081632655</v>
      </c>
      <c r="F20" s="276">
        <v>6353.5714285714294</v>
      </c>
      <c r="G20" s="276">
        <v>6330.2295918367345</v>
      </c>
      <c r="H20" s="276">
        <f>+H18*0.25</f>
        <v>5936.367346938775</v>
      </c>
      <c r="I20" s="276">
        <v>6307.6530612244896</v>
      </c>
      <c r="J20" s="276">
        <v>6238.7755102040819</v>
      </c>
      <c r="K20" s="276">
        <f>K18*0.25</f>
        <v>8571.4285714285725</v>
      </c>
      <c r="L20" s="276">
        <v>6213.9030612244906</v>
      </c>
      <c r="M20" s="276">
        <v>5778.75</v>
      </c>
      <c r="N20" s="276">
        <v>6173.3418367346931</v>
      </c>
      <c r="O20" s="276">
        <v>6118.6224489795923</v>
      </c>
      <c r="P20" s="276">
        <v>6021.4285714285716</v>
      </c>
      <c r="Q20" s="276">
        <v>5778.75</v>
      </c>
      <c r="R20" s="276">
        <v>5235.841836734694</v>
      </c>
      <c r="S20" s="276" t="s">
        <v>444</v>
      </c>
      <c r="T20" s="276">
        <v>3937.5</v>
      </c>
      <c r="U20" s="276" t="s">
        <v>444</v>
      </c>
    </row>
    <row r="21" spans="1:23" ht="11.45" customHeight="1" x14ac:dyDescent="0.2"/>
    <row r="22" spans="1:23" ht="11.45" customHeight="1" x14ac:dyDescent="0.2">
      <c r="A22" s="277" t="s">
        <v>347</v>
      </c>
    </row>
    <row r="23" spans="1:23" ht="11.45" customHeight="1" x14ac:dyDescent="0.2">
      <c r="A23" s="1" t="s">
        <v>348</v>
      </c>
    </row>
    <row r="24" spans="1:23" ht="11.45" customHeight="1" x14ac:dyDescent="0.2">
      <c r="A24" s="1">
        <v>12</v>
      </c>
      <c r="B24" s="1">
        <v>100</v>
      </c>
      <c r="O24" s="276">
        <v>26210.595918367348</v>
      </c>
    </row>
    <row r="25" spans="1:23" ht="11.45" customHeight="1" x14ac:dyDescent="0.2">
      <c r="B25" s="1">
        <v>49</v>
      </c>
      <c r="O25" s="276">
        <v>12843.192000000001</v>
      </c>
    </row>
    <row r="26" spans="1:23" ht="11.45" customHeight="1" x14ac:dyDescent="0.2">
      <c r="B26" s="1">
        <v>25</v>
      </c>
      <c r="O26" s="276">
        <v>6552.6489795918369</v>
      </c>
      <c r="W26" s="1">
        <v>5552</v>
      </c>
    </row>
    <row r="27" spans="1:23" ht="11.45" customHeight="1" x14ac:dyDescent="0.2"/>
    <row r="28" spans="1:23" ht="11.45" customHeight="1" x14ac:dyDescent="0.2">
      <c r="A28" s="1">
        <v>9</v>
      </c>
      <c r="B28" s="1">
        <v>100</v>
      </c>
      <c r="O28" s="276">
        <v>19657.946938775509</v>
      </c>
    </row>
    <row r="29" spans="1:23" ht="11.45" customHeight="1" x14ac:dyDescent="0.2">
      <c r="B29" s="1">
        <v>49</v>
      </c>
      <c r="O29" s="276">
        <v>9632.3940000000002</v>
      </c>
    </row>
    <row r="30" spans="1:23" ht="11.45" customHeight="1" x14ac:dyDescent="0.2">
      <c r="B30" s="1">
        <v>25</v>
      </c>
      <c r="O30" s="276">
        <v>4914.4867346938772</v>
      </c>
      <c r="P30" s="276" t="s">
        <v>444</v>
      </c>
    </row>
    <row r="31" spans="1:23" ht="11.45" customHeight="1" x14ac:dyDescent="0.2"/>
    <row r="32" spans="1:23" ht="11.45" customHeight="1" x14ac:dyDescent="0.2">
      <c r="A32" s="277" t="s">
        <v>347</v>
      </c>
    </row>
    <row r="33" spans="1:16" ht="11.45" customHeight="1" x14ac:dyDescent="0.2">
      <c r="A33" s="1" t="s">
        <v>349</v>
      </c>
    </row>
    <row r="34" spans="1:16" ht="11.45" customHeight="1" x14ac:dyDescent="0.2">
      <c r="A34" s="1">
        <v>12</v>
      </c>
      <c r="B34" s="1">
        <v>100</v>
      </c>
      <c r="P34" s="276">
        <v>33366.9387755102</v>
      </c>
    </row>
    <row r="35" spans="1:16" ht="11.45" customHeight="1" x14ac:dyDescent="0.2">
      <c r="B35" s="1">
        <v>49</v>
      </c>
      <c r="P35" s="276">
        <v>16349.8</v>
      </c>
    </row>
    <row r="36" spans="1:16" ht="11.45" customHeight="1" x14ac:dyDescent="0.2">
      <c r="B36" s="1">
        <v>25</v>
      </c>
      <c r="P36" s="276">
        <v>8341.7346938775499</v>
      </c>
    </row>
    <row r="37" spans="1:16" ht="11.45" customHeight="1" x14ac:dyDescent="0.2"/>
    <row r="38" spans="1:16" ht="11.45" customHeight="1" x14ac:dyDescent="0.2">
      <c r="A38" s="277" t="s">
        <v>445</v>
      </c>
    </row>
    <row r="39" spans="1:16" ht="11.45" customHeight="1" x14ac:dyDescent="0.2">
      <c r="A39" s="1" t="s">
        <v>350</v>
      </c>
    </row>
    <row r="40" spans="1:16" ht="11.45" customHeight="1" x14ac:dyDescent="0.2">
      <c r="A40" s="1">
        <v>9</v>
      </c>
      <c r="B40" s="1">
        <v>42</v>
      </c>
      <c r="D40" s="276">
        <v>9824.24</v>
      </c>
    </row>
    <row r="41" spans="1:16" ht="11.45" customHeight="1" x14ac:dyDescent="0.2"/>
    <row r="42" spans="1:16" ht="11.45" customHeight="1" x14ac:dyDescent="0.2">
      <c r="A42" s="277" t="s">
        <v>347</v>
      </c>
    </row>
    <row r="43" spans="1:16" ht="11.45" customHeight="1" x14ac:dyDescent="0.2"/>
    <row r="44" spans="1:16" ht="11.45" customHeight="1" x14ac:dyDescent="0.2">
      <c r="A44" s="1">
        <v>12</v>
      </c>
      <c r="B44" s="1">
        <v>49</v>
      </c>
      <c r="F44" s="276">
        <v>10192</v>
      </c>
      <c r="G44" s="276" t="s">
        <v>446</v>
      </c>
    </row>
    <row r="45" spans="1:16" ht="11.45" customHeight="1" x14ac:dyDescent="0.2">
      <c r="A45" s="1">
        <v>9</v>
      </c>
      <c r="B45" s="1">
        <v>49</v>
      </c>
      <c r="F45" s="276">
        <v>7644</v>
      </c>
      <c r="G45" s="276" t="s">
        <v>446</v>
      </c>
    </row>
    <row r="46" spans="1:16" ht="11.45" customHeight="1" x14ac:dyDescent="0.2">
      <c r="A46" s="1">
        <v>9</v>
      </c>
      <c r="B46" s="1">
        <v>25</v>
      </c>
      <c r="F46" s="276">
        <v>3900</v>
      </c>
      <c r="G46" s="276" t="s">
        <v>447</v>
      </c>
    </row>
  </sheetData>
  <sheetProtection algorithmName="SHA-512" hashValue="T3MoTziPIWtUgrF1yd44c4A1DFHrpTdDL3fae9nIc4ksGpYBN8NnJ+rluDx9T6w+F/1PbLlKldXJQMSdE0uhPw==" saltValue="jkNCZG3x3wPZuHZOHGXAOw==" spinCount="100000" sheet="1" objects="1" scenarios="1"/>
  <printOptions gridLines="1"/>
  <pageMargins left="0.27" right="0.17" top="0.2" bottom="0.21" header="0.17" footer="0.17"/>
  <pageSetup paperSize="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9"/>
  <sheetViews>
    <sheetView zoomScaleNormal="100" workbookViewId="0">
      <selection activeCell="H31" sqref="H31"/>
    </sheetView>
  </sheetViews>
  <sheetFormatPr defaultRowHeight="15" x14ac:dyDescent="0.25"/>
  <sheetData>
    <row r="1" spans="1:4" ht="18.75" x14ac:dyDescent="0.3">
      <c r="B1" s="69" t="s">
        <v>112</v>
      </c>
    </row>
    <row r="2" spans="1:4" x14ac:dyDescent="0.25">
      <c r="A2">
        <v>1</v>
      </c>
      <c r="B2" s="8" t="s">
        <v>111</v>
      </c>
      <c r="C2" s="8"/>
      <c r="D2" s="8"/>
    </row>
    <row r="3" spans="1:4" x14ac:dyDescent="0.25">
      <c r="A3">
        <v>2</v>
      </c>
      <c r="B3" t="s">
        <v>105</v>
      </c>
    </row>
    <row r="4" spans="1:4" x14ac:dyDescent="0.25">
      <c r="A4">
        <v>3</v>
      </c>
      <c r="B4" t="s">
        <v>108</v>
      </c>
    </row>
    <row r="5" spans="1:4" x14ac:dyDescent="0.25">
      <c r="A5">
        <v>4</v>
      </c>
      <c r="B5" t="s">
        <v>106</v>
      </c>
    </row>
    <row r="6" spans="1:4" x14ac:dyDescent="0.25">
      <c r="A6">
        <v>5</v>
      </c>
      <c r="B6" t="s">
        <v>119</v>
      </c>
    </row>
    <row r="7" spans="1:4" x14ac:dyDescent="0.25">
      <c r="A7">
        <v>6</v>
      </c>
      <c r="B7" t="s">
        <v>109</v>
      </c>
    </row>
    <row r="8" spans="1:4" x14ac:dyDescent="0.25">
      <c r="A8">
        <v>7</v>
      </c>
      <c r="B8" t="s">
        <v>107</v>
      </c>
    </row>
    <row r="9" spans="1:4" x14ac:dyDescent="0.25">
      <c r="A9">
        <v>8</v>
      </c>
      <c r="B9" t="s">
        <v>120</v>
      </c>
    </row>
    <row r="10" spans="1:4" x14ac:dyDescent="0.25">
      <c r="A10">
        <v>9</v>
      </c>
      <c r="B10" t="s">
        <v>110</v>
      </c>
    </row>
    <row r="11" spans="1:4" x14ac:dyDescent="0.25">
      <c r="A11">
        <v>10</v>
      </c>
      <c r="B11" t="s">
        <v>121</v>
      </c>
    </row>
    <row r="12" spans="1:4" x14ac:dyDescent="0.25">
      <c r="B12" t="s">
        <v>117</v>
      </c>
    </row>
    <row r="13" spans="1:4" x14ac:dyDescent="0.25">
      <c r="A13">
        <v>11</v>
      </c>
      <c r="B13" t="s">
        <v>113</v>
      </c>
    </row>
    <row r="14" spans="1:4" x14ac:dyDescent="0.25">
      <c r="A14">
        <v>12</v>
      </c>
      <c r="B14" t="s">
        <v>114</v>
      </c>
    </row>
    <row r="15" spans="1:4" x14ac:dyDescent="0.25">
      <c r="A15">
        <v>13</v>
      </c>
      <c r="B15" t="s">
        <v>115</v>
      </c>
    </row>
    <row r="16" spans="1:4" x14ac:dyDescent="0.25">
      <c r="A16">
        <v>14</v>
      </c>
      <c r="B16" t="s">
        <v>116</v>
      </c>
    </row>
    <row r="17" spans="1:2" x14ac:dyDescent="0.25">
      <c r="B17" t="s">
        <v>118</v>
      </c>
    </row>
    <row r="18" spans="1:2" x14ac:dyDescent="0.25">
      <c r="A18">
        <v>15</v>
      </c>
      <c r="B18" t="s">
        <v>122</v>
      </c>
    </row>
    <row r="19" spans="1:2" x14ac:dyDescent="0.25">
      <c r="A19">
        <v>16</v>
      </c>
      <c r="B19" t="s">
        <v>123</v>
      </c>
    </row>
  </sheetData>
  <sheetProtection password="9F12" sheet="1" objects="1" scenarios="1"/>
  <pageMargins left="0.5" right="0.2" top="0.2" bottom="0.2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workbookViewId="0">
      <selection sqref="A1:L1"/>
    </sheetView>
  </sheetViews>
  <sheetFormatPr defaultRowHeight="15" x14ac:dyDescent="0.25"/>
  <cols>
    <col min="1" max="1" width="3" style="115" bestFit="1" customWidth="1"/>
    <col min="2" max="2" width="20.5703125" customWidth="1"/>
    <col min="4" max="8" width="13.28515625" bestFit="1" customWidth="1"/>
    <col min="9" max="9" width="14.28515625" bestFit="1" customWidth="1"/>
    <col min="10" max="10" width="24.140625" bestFit="1" customWidth="1"/>
    <col min="11" max="11" width="55" customWidth="1"/>
  </cols>
  <sheetData>
    <row r="1" spans="1:12" ht="18.75" x14ac:dyDescent="0.3">
      <c r="A1" s="366" t="str">
        <f>+Award!D1</f>
        <v>South Dakota State University</v>
      </c>
      <c r="B1" s="366"/>
      <c r="C1" s="366"/>
      <c r="D1" s="366"/>
      <c r="E1" s="366"/>
      <c r="F1" s="366"/>
      <c r="G1" s="366"/>
      <c r="H1" s="366"/>
      <c r="I1" s="366"/>
      <c r="J1" s="366"/>
      <c r="K1" s="366"/>
      <c r="L1" s="366"/>
    </row>
    <row r="2" spans="1:12" x14ac:dyDescent="0.25">
      <c r="A2" s="322" t="s">
        <v>81</v>
      </c>
      <c r="B2" s="323"/>
      <c r="C2" s="323" t="str">
        <f>+Award!T2</f>
        <v xml:space="preserve"> </v>
      </c>
      <c r="D2" s="323"/>
      <c r="E2" s="323"/>
      <c r="F2" s="323"/>
      <c r="G2" s="323"/>
      <c r="H2" s="323"/>
      <c r="I2" s="323"/>
      <c r="J2" s="323"/>
      <c r="K2" s="323"/>
      <c r="L2" s="323"/>
    </row>
    <row r="3" spans="1:12" x14ac:dyDescent="0.25">
      <c r="A3" s="322" t="str">
        <f>+Award!A2</f>
        <v>Proposal:</v>
      </c>
      <c r="B3" s="323"/>
      <c r="C3" s="323" t="str">
        <f>+Award!D2</f>
        <v xml:space="preserve">2018 WATER RESOURCE 104G PRE PROPOSAL </v>
      </c>
      <c r="D3" s="323"/>
      <c r="E3" s="323"/>
      <c r="F3" s="323"/>
      <c r="G3" s="323"/>
      <c r="H3" s="323"/>
      <c r="I3" s="323"/>
      <c r="J3" s="323"/>
      <c r="K3" s="323"/>
      <c r="L3" s="323"/>
    </row>
    <row r="4" spans="1:12" s="7" customFormat="1" ht="30" x14ac:dyDescent="0.25">
      <c r="A4" s="331" t="s">
        <v>532</v>
      </c>
      <c r="B4" s="333" t="s">
        <v>534</v>
      </c>
      <c r="C4" s="321"/>
      <c r="D4" s="321" t="s">
        <v>459</v>
      </c>
      <c r="E4" s="321" t="s">
        <v>529</v>
      </c>
      <c r="F4" s="321" t="s">
        <v>461</v>
      </c>
      <c r="G4" s="321" t="s">
        <v>474</v>
      </c>
      <c r="H4" s="321" t="s">
        <v>475</v>
      </c>
      <c r="I4" s="321" t="s">
        <v>104</v>
      </c>
      <c r="J4" s="321" t="s">
        <v>530</v>
      </c>
      <c r="K4" s="321" t="s">
        <v>531</v>
      </c>
      <c r="L4" s="321"/>
    </row>
    <row r="5" spans="1:12" ht="31.5" x14ac:dyDescent="0.25">
      <c r="A5" s="115">
        <v>1</v>
      </c>
      <c r="B5" s="218">
        <f>+Award!C9</f>
        <v>0</v>
      </c>
      <c r="C5" s="218">
        <f>+Award!D9</f>
        <v>0</v>
      </c>
      <c r="D5" s="324">
        <f>+Award!N9</f>
        <v>0</v>
      </c>
      <c r="E5" s="324">
        <f>+Award!Q9</f>
        <v>0</v>
      </c>
      <c r="F5" s="324">
        <f>+Award!T9</f>
        <v>0</v>
      </c>
      <c r="G5" s="324" t="str">
        <f>+Award!W9</f>
        <v xml:space="preserve"> </v>
      </c>
      <c r="H5" s="324" t="str">
        <f>+Award!Z9</f>
        <v xml:space="preserve"> </v>
      </c>
      <c r="I5" s="324">
        <f>SUM(D5:H5)</f>
        <v>0</v>
      </c>
      <c r="J5" s="110"/>
      <c r="K5" s="304" t="s">
        <v>483</v>
      </c>
    </row>
    <row r="6" spans="1:12" x14ac:dyDescent="0.25">
      <c r="A6" s="115">
        <v>2</v>
      </c>
      <c r="B6" s="218">
        <f>+Award!C10</f>
        <v>0</v>
      </c>
      <c r="C6" s="218">
        <f>+Award!D10</f>
        <v>0</v>
      </c>
      <c r="D6" s="324">
        <f>+Award!N10</f>
        <v>0</v>
      </c>
      <c r="E6" s="324">
        <f>+Award!Q10</f>
        <v>0</v>
      </c>
      <c r="F6" s="324">
        <f>+Award!T10</f>
        <v>0</v>
      </c>
      <c r="G6" s="324" t="str">
        <f>+Award!W10</f>
        <v xml:space="preserve"> </v>
      </c>
      <c r="H6" s="324" t="str">
        <f>+Award!Z10</f>
        <v xml:space="preserve"> </v>
      </c>
      <c r="I6" s="324">
        <f t="shared" ref="I6:I28" si="0">SUM(D6:H6)</f>
        <v>0</v>
      </c>
      <c r="J6" s="110"/>
    </row>
    <row r="7" spans="1:12" x14ac:dyDescent="0.25">
      <c r="A7" s="115">
        <v>3</v>
      </c>
      <c r="B7" s="218">
        <f>+Award!C11</f>
        <v>0</v>
      </c>
      <c r="C7" s="218">
        <f>+Award!D11</f>
        <v>0</v>
      </c>
      <c r="D7" s="324">
        <f>+Award!N11</f>
        <v>0</v>
      </c>
      <c r="E7" s="324">
        <f>+Award!Q11</f>
        <v>0</v>
      </c>
      <c r="F7" s="324">
        <f>+Award!T11</f>
        <v>0</v>
      </c>
      <c r="G7" s="324" t="str">
        <f>+Award!W11</f>
        <v xml:space="preserve"> </v>
      </c>
      <c r="H7" s="324" t="str">
        <f>+Award!Z11</f>
        <v xml:space="preserve"> </v>
      </c>
      <c r="I7" s="324">
        <f t="shared" si="0"/>
        <v>0</v>
      </c>
      <c r="J7" s="110"/>
    </row>
    <row r="8" spans="1:12" x14ac:dyDescent="0.25">
      <c r="A8" s="115">
        <v>4</v>
      </c>
      <c r="B8" s="218">
        <f>+Award!C12</f>
        <v>0</v>
      </c>
      <c r="C8" s="218">
        <f>+Award!D12</f>
        <v>0</v>
      </c>
      <c r="D8" s="324">
        <f>+Award!N12</f>
        <v>0</v>
      </c>
      <c r="E8" s="324">
        <f>+Award!Q12</f>
        <v>0</v>
      </c>
      <c r="F8" s="324">
        <f>+Award!T12</f>
        <v>0</v>
      </c>
      <c r="G8" s="324" t="str">
        <f>+Award!W12</f>
        <v xml:space="preserve"> </v>
      </c>
      <c r="H8" s="324" t="str">
        <f>+Award!Z12</f>
        <v xml:space="preserve"> </v>
      </c>
      <c r="I8" s="324">
        <f t="shared" si="0"/>
        <v>0</v>
      </c>
      <c r="J8" s="110"/>
    </row>
    <row r="9" spans="1:12" x14ac:dyDescent="0.25">
      <c r="A9" s="115">
        <v>5</v>
      </c>
      <c r="B9" s="218">
        <f>+Award!C13</f>
        <v>0</v>
      </c>
      <c r="C9" s="218">
        <f>+Award!D13</f>
        <v>0</v>
      </c>
      <c r="D9" s="324">
        <f>+Award!N13</f>
        <v>0</v>
      </c>
      <c r="E9" s="324">
        <f>+Award!Q13</f>
        <v>0</v>
      </c>
      <c r="F9" s="324">
        <f>+Award!T13</f>
        <v>0</v>
      </c>
      <c r="G9" s="324" t="str">
        <f>+Award!W13</f>
        <v xml:space="preserve"> </v>
      </c>
      <c r="H9" s="324" t="str">
        <f>+Award!Z13</f>
        <v xml:space="preserve"> </v>
      </c>
      <c r="I9" s="324">
        <f t="shared" si="0"/>
        <v>0</v>
      </c>
      <c r="J9" s="110"/>
    </row>
    <row r="10" spans="1:12" x14ac:dyDescent="0.25">
      <c r="A10" s="115">
        <v>6</v>
      </c>
      <c r="B10" s="218">
        <f>+Award!C14</f>
        <v>0</v>
      </c>
      <c r="C10" s="218">
        <f>+Award!D14</f>
        <v>0</v>
      </c>
      <c r="D10" s="324">
        <f>+Award!N14</f>
        <v>0</v>
      </c>
      <c r="E10" s="324">
        <f>+Award!Q14</f>
        <v>0</v>
      </c>
      <c r="F10" s="324">
        <f>+Award!T14</f>
        <v>0</v>
      </c>
      <c r="G10" s="324" t="str">
        <f>+Award!W14</f>
        <v xml:space="preserve"> </v>
      </c>
      <c r="H10" s="324" t="str">
        <f>+Award!Z14</f>
        <v xml:space="preserve"> </v>
      </c>
      <c r="I10" s="324">
        <f t="shared" si="0"/>
        <v>0</v>
      </c>
      <c r="J10" s="110"/>
    </row>
    <row r="11" spans="1:12" x14ac:dyDescent="0.25">
      <c r="A11" s="115">
        <v>7</v>
      </c>
      <c r="B11" s="218">
        <f>+Award!C15</f>
        <v>0</v>
      </c>
      <c r="C11" s="218">
        <f>+Award!D15</f>
        <v>0</v>
      </c>
      <c r="D11" s="324">
        <f>+Award!N15</f>
        <v>0</v>
      </c>
      <c r="E11" s="324">
        <f>+Award!Q15</f>
        <v>0</v>
      </c>
      <c r="F11" s="324">
        <f>+Award!T15</f>
        <v>0</v>
      </c>
      <c r="G11" s="324" t="str">
        <f>+Award!W15</f>
        <v xml:space="preserve"> </v>
      </c>
      <c r="H11" s="324" t="str">
        <f>+Award!Z15</f>
        <v xml:space="preserve"> </v>
      </c>
      <c r="I11" s="324">
        <f t="shared" si="0"/>
        <v>0</v>
      </c>
      <c r="J11" s="110"/>
    </row>
    <row r="12" spans="1:12" x14ac:dyDescent="0.25">
      <c r="A12" s="115">
        <v>8</v>
      </c>
      <c r="B12" s="218">
        <f>+Award!C16</f>
        <v>0</v>
      </c>
      <c r="C12" s="218">
        <f>+Award!D16</f>
        <v>0</v>
      </c>
      <c r="D12" s="324">
        <f>+Award!N16</f>
        <v>0</v>
      </c>
      <c r="E12" s="324">
        <f>+Award!Q16</f>
        <v>0</v>
      </c>
      <c r="F12" s="324">
        <f>+Award!T16</f>
        <v>0</v>
      </c>
      <c r="G12" s="324" t="str">
        <f>+Award!W16</f>
        <v xml:space="preserve"> </v>
      </c>
      <c r="H12" s="324" t="str">
        <f>+Award!Z16</f>
        <v xml:space="preserve"> </v>
      </c>
      <c r="I12" s="324">
        <f t="shared" si="0"/>
        <v>0</v>
      </c>
      <c r="J12" s="110"/>
    </row>
    <row r="13" spans="1:12" hidden="1" x14ac:dyDescent="0.25">
      <c r="A13" s="115">
        <v>9</v>
      </c>
      <c r="B13" s="218">
        <f>+Award!C17</f>
        <v>0</v>
      </c>
      <c r="C13" s="218">
        <f>+Award!D17</f>
        <v>0</v>
      </c>
      <c r="D13" s="324">
        <f>+Award!N17</f>
        <v>0</v>
      </c>
      <c r="E13" s="324">
        <f>+Award!Q17</f>
        <v>0</v>
      </c>
      <c r="F13" s="324">
        <f>+Award!T17</f>
        <v>0</v>
      </c>
      <c r="G13" s="324" t="str">
        <f>+Award!W17</f>
        <v xml:space="preserve"> </v>
      </c>
      <c r="H13" s="324" t="str">
        <f>+Award!Z17</f>
        <v xml:space="preserve"> </v>
      </c>
      <c r="I13" s="324">
        <f t="shared" si="0"/>
        <v>0</v>
      </c>
      <c r="J13" s="110"/>
    </row>
    <row r="14" spans="1:12" hidden="1" x14ac:dyDescent="0.25">
      <c r="A14" s="115">
        <v>10</v>
      </c>
      <c r="B14" s="218">
        <f>+Award!C18</f>
        <v>0</v>
      </c>
      <c r="C14" s="218">
        <f>+Award!D18</f>
        <v>0</v>
      </c>
      <c r="D14" s="324">
        <f>+Award!N18</f>
        <v>0</v>
      </c>
      <c r="E14" s="324">
        <f>+Award!Q18</f>
        <v>0</v>
      </c>
      <c r="F14" s="324">
        <f>+Award!T18</f>
        <v>0</v>
      </c>
      <c r="G14" s="324" t="str">
        <f>+Award!W18</f>
        <v xml:space="preserve"> </v>
      </c>
      <c r="H14" s="324" t="str">
        <f>+Award!Z18</f>
        <v xml:space="preserve"> </v>
      </c>
      <c r="I14" s="324">
        <f t="shared" si="0"/>
        <v>0</v>
      </c>
      <c r="J14" s="110"/>
    </row>
    <row r="15" spans="1:12" hidden="1" x14ac:dyDescent="0.25">
      <c r="A15" s="115">
        <v>11</v>
      </c>
      <c r="B15" s="218">
        <f>+Award!C19</f>
        <v>0</v>
      </c>
      <c r="C15" s="218">
        <f>+Award!D19</f>
        <v>0</v>
      </c>
      <c r="D15" s="324">
        <f>+Award!N19</f>
        <v>0</v>
      </c>
      <c r="E15" s="324">
        <f>+Award!Q19</f>
        <v>0</v>
      </c>
      <c r="F15" s="324">
        <f>+Award!T19</f>
        <v>0</v>
      </c>
      <c r="G15" s="324" t="str">
        <f>+Award!W19</f>
        <v xml:space="preserve"> </v>
      </c>
      <c r="H15" s="324" t="str">
        <f>+Award!Z19</f>
        <v xml:space="preserve"> </v>
      </c>
      <c r="I15" s="324">
        <f t="shared" si="0"/>
        <v>0</v>
      </c>
      <c r="J15" s="110"/>
    </row>
    <row r="16" spans="1:12" hidden="1" x14ac:dyDescent="0.25">
      <c r="A16" s="115">
        <v>12</v>
      </c>
      <c r="B16" s="218">
        <f>+Award!C20</f>
        <v>0</v>
      </c>
      <c r="C16" s="218">
        <f>+Award!D20</f>
        <v>0</v>
      </c>
      <c r="D16" s="324">
        <f>+Award!N20</f>
        <v>0</v>
      </c>
      <c r="E16" s="324">
        <f>+Award!Q20</f>
        <v>0</v>
      </c>
      <c r="F16" s="324">
        <f>+Award!T20</f>
        <v>0</v>
      </c>
      <c r="G16" s="324" t="str">
        <f>+Award!W20</f>
        <v xml:space="preserve"> </v>
      </c>
      <c r="H16" s="324" t="str">
        <f>+Award!Z20</f>
        <v xml:space="preserve"> </v>
      </c>
      <c r="I16" s="324">
        <f t="shared" si="0"/>
        <v>0</v>
      </c>
      <c r="J16" s="110"/>
    </row>
    <row r="17" spans="1:12" hidden="1" x14ac:dyDescent="0.25">
      <c r="A17" s="115">
        <v>13</v>
      </c>
      <c r="B17" s="218">
        <f>+Award!C21</f>
        <v>0</v>
      </c>
      <c r="C17" s="218">
        <f>+Award!D21</f>
        <v>0</v>
      </c>
      <c r="D17" s="324">
        <f>+Award!N21</f>
        <v>0</v>
      </c>
      <c r="E17" s="324">
        <f>+Award!Q21</f>
        <v>0</v>
      </c>
      <c r="F17" s="324">
        <f>+Award!T21</f>
        <v>0</v>
      </c>
      <c r="G17" s="324" t="str">
        <f>+Award!W21</f>
        <v xml:space="preserve"> </v>
      </c>
      <c r="H17" s="324" t="str">
        <f>+Award!Z21</f>
        <v xml:space="preserve"> </v>
      </c>
      <c r="I17" s="324">
        <f t="shared" si="0"/>
        <v>0</v>
      </c>
      <c r="J17" s="110"/>
    </row>
    <row r="18" spans="1:12" hidden="1" x14ac:dyDescent="0.25">
      <c r="A18" s="115">
        <v>14</v>
      </c>
      <c r="B18" s="218">
        <f>+Award!C22</f>
        <v>0</v>
      </c>
      <c r="C18" s="218">
        <f>+Award!D22</f>
        <v>0</v>
      </c>
      <c r="D18" s="324">
        <f>+Award!N22</f>
        <v>0</v>
      </c>
      <c r="E18" s="324">
        <f>+Award!Q22</f>
        <v>0</v>
      </c>
      <c r="F18" s="324">
        <f>+Award!T22</f>
        <v>0</v>
      </c>
      <c r="G18" s="324" t="str">
        <f>+Award!W22</f>
        <v xml:space="preserve"> </v>
      </c>
      <c r="H18" s="324" t="str">
        <f>+Award!Z22</f>
        <v xml:space="preserve"> </v>
      </c>
      <c r="I18" s="324">
        <f t="shared" si="0"/>
        <v>0</v>
      </c>
      <c r="J18" s="110"/>
    </row>
    <row r="19" spans="1:12" hidden="1" x14ac:dyDescent="0.25">
      <c r="A19" s="115">
        <v>15</v>
      </c>
      <c r="B19" s="218">
        <f>+Award!C23</f>
        <v>0</v>
      </c>
      <c r="C19" s="218">
        <f>+Award!D23</f>
        <v>0</v>
      </c>
      <c r="D19" s="324">
        <f>+Award!N23</f>
        <v>0</v>
      </c>
      <c r="E19" s="324">
        <f>+Award!Q23</f>
        <v>0</v>
      </c>
      <c r="F19" s="324">
        <f>+Award!T23</f>
        <v>0</v>
      </c>
      <c r="G19" s="324" t="str">
        <f>+Award!W23</f>
        <v xml:space="preserve"> </v>
      </c>
      <c r="H19" s="324" t="str">
        <f>+Award!Z23</f>
        <v xml:space="preserve"> </v>
      </c>
      <c r="I19" s="324">
        <f t="shared" si="0"/>
        <v>0</v>
      </c>
      <c r="J19" s="110"/>
    </row>
    <row r="20" spans="1:12" x14ac:dyDescent="0.25">
      <c r="A20" s="115">
        <v>16</v>
      </c>
      <c r="B20" s="218">
        <f>+Award!C24</f>
        <v>0</v>
      </c>
      <c r="C20" s="218">
        <f>+Award!D24</f>
        <v>0</v>
      </c>
      <c r="D20" s="324">
        <f>+Award!N24</f>
        <v>0</v>
      </c>
      <c r="E20" s="324">
        <f>+Award!Q24</f>
        <v>0</v>
      </c>
      <c r="F20" s="324">
        <f>+Award!T24</f>
        <v>0</v>
      </c>
      <c r="G20" s="324" t="str">
        <f>+Award!W24</f>
        <v xml:space="preserve"> </v>
      </c>
      <c r="H20" s="324" t="str">
        <f>+Award!Z24</f>
        <v xml:space="preserve"> </v>
      </c>
      <c r="I20" s="324">
        <f t="shared" si="0"/>
        <v>0</v>
      </c>
      <c r="J20" s="110"/>
    </row>
    <row r="21" spans="1:12" x14ac:dyDescent="0.25">
      <c r="B21" s="7" t="s">
        <v>104</v>
      </c>
      <c r="C21" s="7"/>
      <c r="D21" s="326">
        <f>SUM(D5:D20)</f>
        <v>0</v>
      </c>
      <c r="E21" s="326">
        <f t="shared" ref="E21:H21" si="1">SUM(E5:E20)</f>
        <v>0</v>
      </c>
      <c r="F21" s="326">
        <f t="shared" si="1"/>
        <v>0</v>
      </c>
      <c r="G21" s="326">
        <f t="shared" si="1"/>
        <v>0</v>
      </c>
      <c r="H21" s="326">
        <f t="shared" si="1"/>
        <v>0</v>
      </c>
      <c r="I21" s="326">
        <f t="shared" si="0"/>
        <v>0</v>
      </c>
      <c r="J21" s="3"/>
    </row>
    <row r="22" spans="1:12" s="7" customFormat="1" x14ac:dyDescent="0.25">
      <c r="A22" s="331" t="s">
        <v>80</v>
      </c>
      <c r="B22" s="321" t="s">
        <v>93</v>
      </c>
      <c r="C22" s="321"/>
      <c r="D22" s="332"/>
      <c r="E22" s="332"/>
      <c r="F22" s="332"/>
      <c r="G22" s="332"/>
      <c r="H22" s="332"/>
      <c r="I22" s="332"/>
      <c r="J22" s="333"/>
      <c r="K22" s="321"/>
      <c r="L22" s="321"/>
    </row>
    <row r="23" spans="1:12" ht="31.5" x14ac:dyDescent="0.25">
      <c r="A23" s="115">
        <v>1</v>
      </c>
      <c r="B23" t="s">
        <v>535</v>
      </c>
      <c r="D23" s="324">
        <f>+Award!N28</f>
        <v>0</v>
      </c>
      <c r="E23" s="324">
        <f>+Award!Q28</f>
        <v>0</v>
      </c>
      <c r="F23" s="324">
        <f>+Award!T28</f>
        <v>0</v>
      </c>
      <c r="G23" s="324" t="str">
        <f>+Award!W28</f>
        <v xml:space="preserve"> </v>
      </c>
      <c r="H23" s="324" t="str">
        <f>+Award!Z28</f>
        <v xml:space="preserve"> </v>
      </c>
      <c r="I23" s="324">
        <f t="shared" si="0"/>
        <v>0</v>
      </c>
      <c r="J23" s="110"/>
      <c r="K23" s="304" t="s">
        <v>484</v>
      </c>
    </row>
    <row r="24" spans="1:12" x14ac:dyDescent="0.25">
      <c r="A24" s="115">
        <v>2</v>
      </c>
      <c r="B24" t="str">
        <f>+Award!D29</f>
        <v>Other</v>
      </c>
      <c r="D24" s="324">
        <f>+Award!N29</f>
        <v>0</v>
      </c>
      <c r="E24" s="324">
        <f>+Award!Q29</f>
        <v>0</v>
      </c>
      <c r="F24" s="324">
        <f>+Award!T29</f>
        <v>0</v>
      </c>
      <c r="G24" s="324" t="str">
        <f>+Award!W29</f>
        <v xml:space="preserve"> </v>
      </c>
      <c r="H24" s="324" t="str">
        <f>+Award!Z29</f>
        <v xml:space="preserve"> </v>
      </c>
      <c r="I24" s="324">
        <f t="shared" si="0"/>
        <v>0</v>
      </c>
      <c r="J24" s="110"/>
    </row>
    <row r="25" spans="1:12" x14ac:dyDescent="0.25">
      <c r="A25" s="115">
        <v>3</v>
      </c>
      <c r="B25" t="s">
        <v>39</v>
      </c>
      <c r="D25" s="324">
        <f>+Award!N30</f>
        <v>0</v>
      </c>
      <c r="E25" s="324">
        <f>+Award!Q30</f>
        <v>0</v>
      </c>
      <c r="F25" s="324">
        <f>+Award!T30</f>
        <v>0</v>
      </c>
      <c r="G25" s="324" t="str">
        <f>+Award!W30</f>
        <v xml:space="preserve"> </v>
      </c>
      <c r="H25" s="324" t="str">
        <f>+Award!Z30</f>
        <v xml:space="preserve"> </v>
      </c>
      <c r="I25" s="324">
        <f t="shared" si="0"/>
        <v>0</v>
      </c>
      <c r="J25" s="110"/>
    </row>
    <row r="26" spans="1:12" x14ac:dyDescent="0.25">
      <c r="A26" s="115">
        <v>4</v>
      </c>
      <c r="B26" t="s">
        <v>39</v>
      </c>
      <c r="D26" s="324">
        <f>+Award!N31</f>
        <v>0</v>
      </c>
      <c r="E26" s="324">
        <f>+Award!Q31</f>
        <v>0</v>
      </c>
      <c r="F26" s="324">
        <f>+Award!T31</f>
        <v>0</v>
      </c>
      <c r="G26" s="324" t="str">
        <f>+Award!W31</f>
        <v xml:space="preserve"> </v>
      </c>
      <c r="H26" s="324" t="str">
        <f>+Award!Z31</f>
        <v xml:space="preserve"> </v>
      </c>
      <c r="I26" s="324">
        <f t="shared" si="0"/>
        <v>0</v>
      </c>
      <c r="J26" s="110"/>
    </row>
    <row r="27" spans="1:12" x14ac:dyDescent="0.25">
      <c r="A27" s="115">
        <v>5</v>
      </c>
      <c r="B27" t="s">
        <v>40</v>
      </c>
      <c r="D27" s="324">
        <f>+Award!N32</f>
        <v>0</v>
      </c>
      <c r="E27" s="324">
        <f>+Award!Q32</f>
        <v>0</v>
      </c>
      <c r="F27" s="324">
        <f>+Award!T32</f>
        <v>0</v>
      </c>
      <c r="G27" s="324" t="str">
        <f>+Award!W32</f>
        <v xml:space="preserve"> </v>
      </c>
      <c r="H27" s="324" t="str">
        <f>+Award!Z32</f>
        <v xml:space="preserve"> </v>
      </c>
      <c r="I27" s="324">
        <f t="shared" si="0"/>
        <v>0</v>
      </c>
      <c r="J27" s="110"/>
    </row>
    <row r="28" spans="1:12" x14ac:dyDescent="0.25">
      <c r="A28" s="115">
        <v>6</v>
      </c>
      <c r="B28" t="s">
        <v>536</v>
      </c>
      <c r="D28" s="324">
        <f>+Award!N33</f>
        <v>0</v>
      </c>
      <c r="E28" s="324">
        <f>+Award!Q33</f>
        <v>0</v>
      </c>
      <c r="F28" s="324">
        <f>+Award!T33</f>
        <v>0</v>
      </c>
      <c r="G28" s="324" t="str">
        <f>+Award!W33</f>
        <v xml:space="preserve"> </v>
      </c>
      <c r="H28" s="324" t="str">
        <f>+Award!Z33</f>
        <v xml:space="preserve"> </v>
      </c>
      <c r="I28" s="324">
        <f t="shared" si="0"/>
        <v>0</v>
      </c>
      <c r="J28" s="110"/>
    </row>
    <row r="29" spans="1:12" x14ac:dyDescent="0.25">
      <c r="B29" s="7" t="s">
        <v>91</v>
      </c>
      <c r="C29" s="7"/>
      <c r="D29" s="326">
        <f>SUM(D23:D28)</f>
        <v>0</v>
      </c>
      <c r="E29" s="326">
        <f>SUM(E23:E28)</f>
        <v>0</v>
      </c>
      <c r="F29" s="326">
        <f>SUM(F23:F28)</f>
        <v>0</v>
      </c>
      <c r="G29" s="326">
        <f>SUM(G23:G28)</f>
        <v>0</v>
      </c>
      <c r="H29" s="326">
        <f>SUM(H23:H28)</f>
        <v>0</v>
      </c>
      <c r="I29" s="326">
        <f>SUM(D29:H29)</f>
        <v>0</v>
      </c>
      <c r="J29" s="3"/>
    </row>
    <row r="30" spans="1:12" ht="36" customHeight="1" x14ac:dyDescent="0.25">
      <c r="A30" s="329" t="s">
        <v>533</v>
      </c>
      <c r="B30" s="10" t="s">
        <v>537</v>
      </c>
      <c r="C30" s="10"/>
      <c r="D30" s="330">
        <f>+Award!N41</f>
        <v>0</v>
      </c>
      <c r="E30" s="330">
        <f>+Award!Q41</f>
        <v>0</v>
      </c>
      <c r="F30" s="330">
        <f>+Award!T41</f>
        <v>0</v>
      </c>
      <c r="G30" s="330">
        <f>+Award!W41</f>
        <v>0</v>
      </c>
      <c r="H30" s="330">
        <f>+Award!Z41</f>
        <v>0</v>
      </c>
      <c r="I30" s="330">
        <f>SUM(D30:H30)</f>
        <v>0</v>
      </c>
      <c r="J30" s="110"/>
      <c r="K30" s="304" t="s">
        <v>485</v>
      </c>
    </row>
    <row r="31" spans="1:12" x14ac:dyDescent="0.25">
      <c r="B31" s="7" t="s">
        <v>538</v>
      </c>
      <c r="C31" s="7"/>
      <c r="D31" s="326">
        <f>+D21+D29+D30</f>
        <v>0</v>
      </c>
      <c r="E31" s="326">
        <f t="shared" ref="E31:I31" si="2">+E21+E29+E30</f>
        <v>0</v>
      </c>
      <c r="F31" s="326">
        <f t="shared" si="2"/>
        <v>0</v>
      </c>
      <c r="G31" s="326">
        <f t="shared" si="2"/>
        <v>0</v>
      </c>
      <c r="H31" s="326">
        <f t="shared" si="2"/>
        <v>0</v>
      </c>
      <c r="I31" s="326">
        <f t="shared" si="2"/>
        <v>0</v>
      </c>
      <c r="J31" s="3"/>
    </row>
    <row r="32" spans="1:12" ht="47.25" x14ac:dyDescent="0.25">
      <c r="A32" s="327" t="s">
        <v>539</v>
      </c>
      <c r="B32" s="31" t="s">
        <v>540</v>
      </c>
      <c r="C32" s="31"/>
      <c r="D32" s="328">
        <f>+Award!N46</f>
        <v>0</v>
      </c>
      <c r="E32" s="328">
        <f>+Award!Q46</f>
        <v>0</v>
      </c>
      <c r="F32" s="328">
        <f>+Award!T46</f>
        <v>0</v>
      </c>
      <c r="G32" s="328">
        <f>+Award!W46</f>
        <v>0</v>
      </c>
      <c r="H32" s="328">
        <f>+Award!Z46</f>
        <v>0</v>
      </c>
      <c r="I32" s="328">
        <f>SUM(D32:H32)</f>
        <v>0</v>
      </c>
      <c r="J32" s="110"/>
      <c r="K32" s="304" t="s">
        <v>486</v>
      </c>
    </row>
    <row r="33" spans="1:12" s="7" customFormat="1" x14ac:dyDescent="0.25">
      <c r="A33" s="331" t="s">
        <v>541</v>
      </c>
      <c r="B33" s="321" t="s">
        <v>52</v>
      </c>
      <c r="C33" s="321"/>
      <c r="D33" s="332"/>
      <c r="E33" s="332"/>
      <c r="F33" s="332"/>
      <c r="G33" s="332"/>
      <c r="H33" s="332"/>
      <c r="I33" s="332"/>
      <c r="J33" s="333"/>
      <c r="K33" s="321"/>
      <c r="L33" s="321"/>
    </row>
    <row r="34" spans="1:12" ht="15.75" x14ac:dyDescent="0.25">
      <c r="A34" s="115">
        <v>1</v>
      </c>
      <c r="B34" t="s">
        <v>251</v>
      </c>
      <c r="D34" s="324">
        <f>+Award!N49</f>
        <v>0</v>
      </c>
      <c r="E34" s="324">
        <f>+Award!Q49</f>
        <v>0</v>
      </c>
      <c r="F34" s="324">
        <f>+Award!T49</f>
        <v>0</v>
      </c>
      <c r="G34" s="324">
        <f>+Award!W49</f>
        <v>0</v>
      </c>
      <c r="H34" s="324">
        <f>+Award!Z49</f>
        <v>0</v>
      </c>
      <c r="I34" s="324">
        <f>SUM(D34:H34)</f>
        <v>0</v>
      </c>
      <c r="J34" s="110"/>
      <c r="K34" s="304" t="s">
        <v>499</v>
      </c>
    </row>
    <row r="35" spans="1:12" x14ac:dyDescent="0.25">
      <c r="A35" s="115">
        <v>2</v>
      </c>
      <c r="B35" t="s">
        <v>53</v>
      </c>
      <c r="D35" s="324">
        <f>+Award!N50</f>
        <v>0</v>
      </c>
      <c r="E35" s="324">
        <f>+Award!Q50</f>
        <v>0</v>
      </c>
      <c r="F35" s="324">
        <f>+Award!T50</f>
        <v>0</v>
      </c>
      <c r="G35" s="324">
        <f>+Award!W50</f>
        <v>0</v>
      </c>
      <c r="H35" s="324">
        <f>+Award!Z50</f>
        <v>0</v>
      </c>
      <c r="I35" s="324">
        <f>SUM(D35:H35)</f>
        <v>0</v>
      </c>
      <c r="J35" s="110"/>
    </row>
    <row r="36" spans="1:12" x14ac:dyDescent="0.25">
      <c r="B36" s="7" t="s">
        <v>54</v>
      </c>
      <c r="C36" s="7"/>
      <c r="D36" s="326">
        <f>SUM(D34:D35)</f>
        <v>0</v>
      </c>
      <c r="E36" s="326">
        <f t="shared" ref="E36:I36" si="3">SUM(E34:E35)</f>
        <v>0</v>
      </c>
      <c r="F36" s="326">
        <f t="shared" si="3"/>
        <v>0</v>
      </c>
      <c r="G36" s="326">
        <f t="shared" si="3"/>
        <v>0</v>
      </c>
      <c r="H36" s="326">
        <f t="shared" si="3"/>
        <v>0</v>
      </c>
      <c r="I36" s="326">
        <f t="shared" si="3"/>
        <v>0</v>
      </c>
      <c r="J36" s="3"/>
    </row>
    <row r="37" spans="1:12" x14ac:dyDescent="0.25">
      <c r="A37" s="331" t="s">
        <v>542</v>
      </c>
      <c r="B37" s="321" t="s">
        <v>543</v>
      </c>
      <c r="C37" s="321"/>
      <c r="D37" s="332"/>
      <c r="E37" s="332"/>
      <c r="F37" s="332"/>
      <c r="G37" s="332"/>
      <c r="H37" s="332"/>
      <c r="I37" s="332"/>
      <c r="J37" s="333"/>
      <c r="K37" s="321"/>
      <c r="L37" s="321"/>
    </row>
    <row r="38" spans="1:12" ht="63" x14ac:dyDescent="0.25">
      <c r="A38" s="115">
        <v>1</v>
      </c>
      <c r="B38" t="s">
        <v>544</v>
      </c>
      <c r="D38" s="324"/>
      <c r="E38" s="324"/>
      <c r="F38" s="324"/>
      <c r="G38" s="324"/>
      <c r="H38" s="324"/>
      <c r="I38" s="324"/>
      <c r="J38" s="110"/>
      <c r="K38" s="304" t="s">
        <v>487</v>
      </c>
    </row>
    <row r="39" spans="1:12" x14ac:dyDescent="0.25">
      <c r="A39" s="115">
        <v>2</v>
      </c>
      <c r="B39" t="s">
        <v>57</v>
      </c>
      <c r="D39" s="324">
        <f>+Award!N54</f>
        <v>0</v>
      </c>
      <c r="E39" s="324">
        <f>+Award!Q54</f>
        <v>0</v>
      </c>
      <c r="F39" s="324">
        <f>+Award!T54</f>
        <v>0</v>
      </c>
      <c r="G39" s="324">
        <f>+Award!W54</f>
        <v>0</v>
      </c>
      <c r="H39" s="324">
        <f>+Award!Z54</f>
        <v>0</v>
      </c>
      <c r="I39" s="324">
        <f>SUM(D39:H39)</f>
        <v>0</v>
      </c>
      <c r="J39" s="110"/>
    </row>
    <row r="40" spans="1:12" x14ac:dyDescent="0.25">
      <c r="A40" s="115">
        <v>3</v>
      </c>
      <c r="B40" t="s">
        <v>52</v>
      </c>
      <c r="D40" s="324">
        <f>+Award!N55</f>
        <v>0</v>
      </c>
      <c r="E40" s="324">
        <f>+Award!Q55</f>
        <v>0</v>
      </c>
      <c r="F40" s="324">
        <f>+Award!T55</f>
        <v>0</v>
      </c>
      <c r="G40" s="324">
        <f>+Award!W55</f>
        <v>0</v>
      </c>
      <c r="H40" s="324">
        <f>+Award!Z55</f>
        <v>0</v>
      </c>
      <c r="I40" s="324">
        <f t="shared" ref="I40:I42" si="4">SUM(D40:H40)</f>
        <v>0</v>
      </c>
      <c r="J40" s="110"/>
    </row>
    <row r="41" spans="1:12" x14ac:dyDescent="0.25">
      <c r="A41" s="115">
        <v>4</v>
      </c>
      <c r="B41" t="s">
        <v>58</v>
      </c>
      <c r="D41" s="324">
        <f>+Award!N56</f>
        <v>0</v>
      </c>
      <c r="E41" s="324">
        <f>+Award!Q56</f>
        <v>0</v>
      </c>
      <c r="F41" s="324">
        <f>+Award!T56</f>
        <v>0</v>
      </c>
      <c r="G41" s="324">
        <f>+Award!W56</f>
        <v>0</v>
      </c>
      <c r="H41" s="324">
        <f>+Award!Z56</f>
        <v>0</v>
      </c>
      <c r="I41" s="324">
        <f t="shared" si="4"/>
        <v>0</v>
      </c>
      <c r="J41" s="110"/>
    </row>
    <row r="42" spans="1:12" x14ac:dyDescent="0.25">
      <c r="A42" s="115">
        <v>5</v>
      </c>
      <c r="B42" t="s">
        <v>59</v>
      </c>
      <c r="D42" s="324">
        <f>+Award!N57</f>
        <v>0</v>
      </c>
      <c r="E42" s="324">
        <f>+Award!Q57</f>
        <v>0</v>
      </c>
      <c r="F42" s="324">
        <f>+Award!T57</f>
        <v>0</v>
      </c>
      <c r="G42" s="324">
        <f>+Award!W57</f>
        <v>0</v>
      </c>
      <c r="H42" s="324">
        <f>+Award!Z57</f>
        <v>0</v>
      </c>
      <c r="I42" s="324">
        <f t="shared" si="4"/>
        <v>0</v>
      </c>
      <c r="J42" s="110"/>
    </row>
    <row r="43" spans="1:12" ht="30" x14ac:dyDescent="0.25">
      <c r="B43" s="334" t="s">
        <v>545</v>
      </c>
      <c r="C43" s="7">
        <f>+Award!C58</f>
        <v>10</v>
      </c>
      <c r="D43" s="326">
        <f>SUM(D39:D42)</f>
        <v>0</v>
      </c>
      <c r="E43" s="326">
        <f t="shared" ref="E43:I43" si="5">SUM(E39:E42)</f>
        <v>0</v>
      </c>
      <c r="F43" s="326">
        <f t="shared" si="5"/>
        <v>0</v>
      </c>
      <c r="G43" s="326">
        <f t="shared" si="5"/>
        <v>0</v>
      </c>
      <c r="H43" s="326">
        <f t="shared" si="5"/>
        <v>0</v>
      </c>
      <c r="I43" s="326">
        <f t="shared" si="5"/>
        <v>0</v>
      </c>
      <c r="J43" s="3"/>
    </row>
    <row r="44" spans="1:12" x14ac:dyDescent="0.25">
      <c r="A44" s="335" t="s">
        <v>546</v>
      </c>
      <c r="B44" s="321" t="s">
        <v>63</v>
      </c>
      <c r="C44" s="321"/>
      <c r="D44" s="332"/>
      <c r="E44" s="332"/>
      <c r="F44" s="332"/>
      <c r="G44" s="332"/>
      <c r="H44" s="332"/>
      <c r="I44" s="332"/>
      <c r="J44" s="333"/>
      <c r="K44" s="321"/>
      <c r="L44" s="321"/>
    </row>
    <row r="45" spans="1:12" ht="15.75" x14ac:dyDescent="0.25">
      <c r="A45" s="115">
        <v>1</v>
      </c>
      <c r="B45" t="s">
        <v>225</v>
      </c>
      <c r="D45" s="324">
        <f>+Award!N61</f>
        <v>0</v>
      </c>
      <c r="E45" s="324">
        <f>+Award!Q61</f>
        <v>0</v>
      </c>
      <c r="F45" s="324">
        <f>+Award!T61</f>
        <v>0</v>
      </c>
      <c r="G45" s="324">
        <f>+Award!W61</f>
        <v>0</v>
      </c>
      <c r="H45" s="324">
        <f>+Award!Z61</f>
        <v>0</v>
      </c>
      <c r="I45" s="324">
        <f t="shared" ref="I45" si="6">SUM(D45:H45)</f>
        <v>0</v>
      </c>
      <c r="J45" s="110"/>
      <c r="K45" s="304" t="s">
        <v>488</v>
      </c>
    </row>
    <row r="46" spans="1:12" ht="15.75" x14ac:dyDescent="0.25">
      <c r="A46" s="115">
        <v>2</v>
      </c>
      <c r="B46" t="s">
        <v>65</v>
      </c>
      <c r="D46" s="324">
        <f>+Award!N62</f>
        <v>0</v>
      </c>
      <c r="E46" s="324">
        <f>+Award!Q62</f>
        <v>0</v>
      </c>
      <c r="F46" s="324">
        <f>+Award!T62</f>
        <v>0</v>
      </c>
      <c r="G46" s="324">
        <f>+Award!W62</f>
        <v>0</v>
      </c>
      <c r="H46" s="324">
        <f>+Award!Z62</f>
        <v>0</v>
      </c>
      <c r="I46" s="324">
        <f t="shared" ref="I46:I49" si="7">SUM(D46:H46)</f>
        <v>0</v>
      </c>
      <c r="J46" s="110"/>
      <c r="K46" s="304" t="s">
        <v>489</v>
      </c>
    </row>
    <row r="47" spans="1:12" ht="15.75" x14ac:dyDescent="0.25">
      <c r="A47" s="115">
        <v>3</v>
      </c>
      <c r="B47" t="s">
        <v>226</v>
      </c>
      <c r="D47" s="324">
        <f>+Award!N63</f>
        <v>0</v>
      </c>
      <c r="E47" s="324">
        <f>+Award!Q63</f>
        <v>0</v>
      </c>
      <c r="F47" s="324">
        <f>+Award!T63</f>
        <v>0</v>
      </c>
      <c r="G47" s="324">
        <f>+Award!W63</f>
        <v>0</v>
      </c>
      <c r="H47" s="324">
        <f>+Award!Z63</f>
        <v>0</v>
      </c>
      <c r="I47" s="324">
        <f t="shared" si="7"/>
        <v>0</v>
      </c>
      <c r="J47" s="110"/>
      <c r="K47" s="304" t="s">
        <v>490</v>
      </c>
    </row>
    <row r="48" spans="1:12" ht="15.75" x14ac:dyDescent="0.25">
      <c r="A48" s="115">
        <v>4</v>
      </c>
      <c r="B48" t="s">
        <v>66</v>
      </c>
      <c r="D48" s="324">
        <f>+Award!N64</f>
        <v>0</v>
      </c>
      <c r="E48" s="324">
        <f>+Award!Q64</f>
        <v>0</v>
      </c>
      <c r="F48" s="324">
        <f>+Award!T64</f>
        <v>0</v>
      </c>
      <c r="G48" s="324">
        <f>+Award!W64</f>
        <v>0</v>
      </c>
      <c r="H48" s="324">
        <f>+Award!Z64</f>
        <v>0</v>
      </c>
      <c r="I48" s="324">
        <f t="shared" si="7"/>
        <v>0</v>
      </c>
      <c r="J48" s="110"/>
      <c r="K48" s="304" t="s">
        <v>491</v>
      </c>
    </row>
    <row r="49" spans="1:15" ht="31.5" x14ac:dyDescent="0.25">
      <c r="A49" s="115">
        <v>5</v>
      </c>
      <c r="B49" s="210" t="s">
        <v>547</v>
      </c>
      <c r="D49" s="325">
        <f>+SUM(Award!N66:N85)</f>
        <v>0</v>
      </c>
      <c r="E49" s="325">
        <f>+SUM(Award!Q66:Q85)</f>
        <v>0</v>
      </c>
      <c r="F49" s="325">
        <f>+SUM(Award!T66:T85)</f>
        <v>0</v>
      </c>
      <c r="G49" s="325">
        <f>+SUM(Award!W66:W85)</f>
        <v>0</v>
      </c>
      <c r="H49" s="325">
        <f>+SUM(Award!Z66:Z85)</f>
        <v>0</v>
      </c>
      <c r="I49" s="324">
        <f t="shared" si="7"/>
        <v>0</v>
      </c>
      <c r="J49" s="110"/>
      <c r="K49" s="304" t="s">
        <v>492</v>
      </c>
    </row>
    <row r="50" spans="1:15" ht="15.75" x14ac:dyDescent="0.25">
      <c r="A50" s="115">
        <v>6</v>
      </c>
      <c r="B50" t="s">
        <v>550</v>
      </c>
      <c r="D50" s="325"/>
      <c r="E50" s="325"/>
      <c r="F50" s="325"/>
      <c r="G50" s="325"/>
      <c r="H50" s="325"/>
      <c r="I50" s="325"/>
      <c r="J50" s="110"/>
      <c r="K50" s="304" t="s">
        <v>493</v>
      </c>
    </row>
    <row r="51" spans="1:15" ht="15.75" x14ac:dyDescent="0.25">
      <c r="A51" s="115">
        <v>7</v>
      </c>
      <c r="B51" t="s">
        <v>548</v>
      </c>
      <c r="D51" s="325"/>
      <c r="E51" s="325"/>
      <c r="F51" s="325"/>
      <c r="G51" s="325"/>
      <c r="H51" s="325"/>
      <c r="I51" s="325"/>
      <c r="J51" s="110"/>
      <c r="K51" s="304" t="s">
        <v>494</v>
      </c>
    </row>
    <row r="52" spans="1:15" ht="15.75" x14ac:dyDescent="0.25">
      <c r="A52" s="115">
        <v>8</v>
      </c>
      <c r="B52" t="s">
        <v>549</v>
      </c>
      <c r="D52" s="325">
        <f>+Award!N86</f>
        <v>0</v>
      </c>
      <c r="E52" s="325">
        <f>+Award!Q86</f>
        <v>0</v>
      </c>
      <c r="F52" s="325">
        <f>+Award!T86</f>
        <v>0</v>
      </c>
      <c r="G52" s="325">
        <f>+Award!W86</f>
        <v>0</v>
      </c>
      <c r="H52" s="325">
        <f>+Award!Z86</f>
        <v>0</v>
      </c>
      <c r="I52" s="324">
        <f t="shared" ref="I52:I56" si="8">SUM(D52:H52)</f>
        <v>0</v>
      </c>
      <c r="J52" s="110"/>
      <c r="K52" s="304" t="s">
        <v>495</v>
      </c>
    </row>
    <row r="53" spans="1:15" ht="15.75" x14ac:dyDescent="0.25">
      <c r="A53" s="115">
        <v>9</v>
      </c>
      <c r="B53" t="s">
        <v>59</v>
      </c>
      <c r="D53" s="325">
        <f>+Award!N87</f>
        <v>0</v>
      </c>
      <c r="E53" s="325">
        <f>+Award!Q87</f>
        <v>0</v>
      </c>
      <c r="F53" s="325">
        <f>+Award!T87</f>
        <v>0</v>
      </c>
      <c r="G53" s="325">
        <f>+Award!W87</f>
        <v>0</v>
      </c>
      <c r="H53" s="325">
        <f>+Award!Z87</f>
        <v>0</v>
      </c>
      <c r="I53" s="324">
        <f t="shared" si="8"/>
        <v>0</v>
      </c>
      <c r="J53" s="110"/>
      <c r="K53" s="304" t="s">
        <v>496</v>
      </c>
    </row>
    <row r="54" spans="1:15" x14ac:dyDescent="0.25">
      <c r="B54" s="7" t="s">
        <v>71</v>
      </c>
      <c r="C54" s="7"/>
      <c r="D54" s="336">
        <f>SUM(D45:D53)</f>
        <v>0</v>
      </c>
      <c r="E54" s="336">
        <f t="shared" ref="E54:H54" si="9">SUM(E45:E53)</f>
        <v>0</v>
      </c>
      <c r="F54" s="336">
        <f t="shared" si="9"/>
        <v>0</v>
      </c>
      <c r="G54" s="336">
        <f t="shared" si="9"/>
        <v>0</v>
      </c>
      <c r="H54" s="336">
        <f t="shared" si="9"/>
        <v>0</v>
      </c>
      <c r="I54" s="326">
        <f t="shared" si="8"/>
        <v>0</v>
      </c>
      <c r="J54" s="110"/>
    </row>
    <row r="55" spans="1:15" x14ac:dyDescent="0.25">
      <c r="A55" s="6" t="s">
        <v>551</v>
      </c>
      <c r="B55" s="7" t="s">
        <v>554</v>
      </c>
      <c r="C55" s="7"/>
      <c r="D55" s="336">
        <f t="shared" ref="D55:I55" si="10">SUM(D54,D43,D36,D32,D31)</f>
        <v>0</v>
      </c>
      <c r="E55" s="336">
        <f t="shared" si="10"/>
        <v>0</v>
      </c>
      <c r="F55" s="336">
        <f t="shared" si="10"/>
        <v>0</v>
      </c>
      <c r="G55" s="336">
        <f t="shared" si="10"/>
        <v>0</v>
      </c>
      <c r="H55" s="336">
        <f t="shared" si="10"/>
        <v>0</v>
      </c>
      <c r="I55" s="336">
        <f t="shared" si="10"/>
        <v>0</v>
      </c>
      <c r="J55" s="110"/>
    </row>
    <row r="56" spans="1:15" ht="31.5" x14ac:dyDescent="0.25">
      <c r="A56" s="115" t="s">
        <v>552</v>
      </c>
      <c r="B56" t="s">
        <v>553</v>
      </c>
      <c r="D56" s="325">
        <f>+Award!N96</f>
        <v>0</v>
      </c>
      <c r="E56" s="325">
        <f>+Award!Q96</f>
        <v>0</v>
      </c>
      <c r="F56" s="325">
        <f>+Award!T96</f>
        <v>0</v>
      </c>
      <c r="G56" s="325">
        <f>+Award!W96</f>
        <v>0</v>
      </c>
      <c r="H56" s="325">
        <f>+Award!Z96</f>
        <v>0</v>
      </c>
      <c r="I56" s="324">
        <f t="shared" si="8"/>
        <v>0</v>
      </c>
      <c r="J56" s="110"/>
      <c r="K56" s="304" t="s">
        <v>497</v>
      </c>
    </row>
    <row r="57" spans="1:15" x14ac:dyDescent="0.25">
      <c r="A57" s="337"/>
      <c r="B57" s="323" t="s">
        <v>104</v>
      </c>
      <c r="C57" s="323"/>
      <c r="D57" s="338">
        <f>SUM(D55:D56)</f>
        <v>0</v>
      </c>
      <c r="E57" s="338">
        <f t="shared" ref="E57:I57" si="11">SUM(E55:E56)</f>
        <v>0</v>
      </c>
      <c r="F57" s="338">
        <f t="shared" si="11"/>
        <v>0</v>
      </c>
      <c r="G57" s="338">
        <f t="shared" si="11"/>
        <v>0</v>
      </c>
      <c r="H57" s="338">
        <f t="shared" si="11"/>
        <v>0</v>
      </c>
      <c r="I57" s="338">
        <f t="shared" si="11"/>
        <v>0</v>
      </c>
      <c r="J57" s="339"/>
      <c r="K57" s="323"/>
      <c r="L57" s="323"/>
    </row>
    <row r="59" spans="1:15" ht="18.75" x14ac:dyDescent="0.3">
      <c r="B59" s="312" t="s">
        <v>507</v>
      </c>
      <c r="C59" s="313"/>
      <c r="D59" s="314"/>
      <c r="E59" s="314"/>
      <c r="F59" s="314"/>
      <c r="G59" s="314"/>
      <c r="H59" s="314"/>
      <c r="I59" s="314"/>
      <c r="J59" s="315"/>
      <c r="K59" s="303"/>
      <c r="L59" s="303"/>
      <c r="M59" s="303"/>
      <c r="N59" s="303"/>
      <c r="O59" s="303"/>
    </row>
    <row r="60" spans="1:15" ht="15.75" x14ac:dyDescent="0.25">
      <c r="B60" s="367" t="s">
        <v>500</v>
      </c>
      <c r="C60" s="367"/>
      <c r="D60" s="316" t="s">
        <v>501</v>
      </c>
      <c r="E60" s="317" t="s">
        <v>502</v>
      </c>
      <c r="F60" s="317" t="s">
        <v>503</v>
      </c>
      <c r="G60" s="317" t="s">
        <v>504</v>
      </c>
      <c r="H60" s="317" t="s">
        <v>505</v>
      </c>
      <c r="I60" s="317" t="s">
        <v>506</v>
      </c>
      <c r="J60" s="317" t="s">
        <v>104</v>
      </c>
      <c r="K60" s="303"/>
      <c r="L60" t="s">
        <v>508</v>
      </c>
      <c r="M60" s="303"/>
      <c r="N60" s="303"/>
      <c r="O60" s="309">
        <v>0.23</v>
      </c>
    </row>
    <row r="61" spans="1:15" ht="15.75" x14ac:dyDescent="0.25">
      <c r="B61" s="363"/>
      <c r="C61" s="363"/>
      <c r="D61" s="318"/>
      <c r="E61" s="318"/>
      <c r="F61" s="318"/>
      <c r="G61" s="318"/>
      <c r="H61" s="318"/>
      <c r="I61" s="318"/>
      <c r="J61" s="319">
        <f>SUM(F61:I61)</f>
        <v>0</v>
      </c>
      <c r="K61" s="303"/>
      <c r="L61" t="s">
        <v>509</v>
      </c>
      <c r="M61" s="303"/>
      <c r="N61" s="303"/>
      <c r="O61" s="309">
        <v>0.42</v>
      </c>
    </row>
    <row r="62" spans="1:15" ht="15.75" x14ac:dyDescent="0.25">
      <c r="B62" s="363"/>
      <c r="C62" s="363"/>
      <c r="D62" s="318"/>
      <c r="E62" s="318"/>
      <c r="F62" s="318"/>
      <c r="G62" s="318"/>
      <c r="H62" s="318"/>
      <c r="I62" s="318"/>
      <c r="J62" s="320"/>
      <c r="K62" s="303"/>
      <c r="L62" s="303"/>
      <c r="M62" s="303"/>
      <c r="N62" s="303"/>
      <c r="O62" s="303"/>
    </row>
    <row r="63" spans="1:15" ht="15.75" x14ac:dyDescent="0.25">
      <c r="B63" s="363"/>
      <c r="C63" s="363"/>
      <c r="D63" s="318"/>
      <c r="E63" s="318"/>
      <c r="F63" s="318"/>
      <c r="G63" s="318"/>
      <c r="H63" s="318"/>
      <c r="I63" s="318"/>
      <c r="J63" s="320"/>
      <c r="K63" s="303"/>
      <c r="L63" s="7" t="s">
        <v>510</v>
      </c>
      <c r="M63" s="303"/>
      <c r="N63" s="303"/>
      <c r="O63" s="303"/>
    </row>
    <row r="64" spans="1:15" ht="15.75" x14ac:dyDescent="0.25">
      <c r="B64" s="363"/>
      <c r="C64" s="363"/>
      <c r="D64" s="318"/>
      <c r="E64" s="318"/>
      <c r="F64" s="318"/>
      <c r="G64" s="318"/>
      <c r="H64" s="318"/>
      <c r="I64" s="318"/>
      <c r="J64" s="320"/>
      <c r="K64" s="303"/>
      <c r="L64" s="310"/>
      <c r="M64" s="12" t="s">
        <v>511</v>
      </c>
      <c r="N64" s="310" t="s">
        <v>512</v>
      </c>
      <c r="O64" s="310" t="s">
        <v>513</v>
      </c>
    </row>
    <row r="65" spans="2:15" ht="15.75" x14ac:dyDescent="0.25">
      <c r="B65" s="363"/>
      <c r="C65" s="363"/>
      <c r="D65" s="318"/>
      <c r="E65" s="318"/>
      <c r="F65" s="318"/>
      <c r="G65" s="318"/>
      <c r="H65" s="318"/>
      <c r="I65" s="318"/>
      <c r="J65" s="320"/>
      <c r="K65" s="303"/>
      <c r="L65" s="310" t="s">
        <v>514</v>
      </c>
      <c r="M65" s="112">
        <v>6</v>
      </c>
      <c r="N65" s="311">
        <v>10</v>
      </c>
      <c r="O65" s="311">
        <v>10</v>
      </c>
    </row>
    <row r="66" spans="2:15" ht="15.75" x14ac:dyDescent="0.25">
      <c r="B66" s="306"/>
      <c r="C66" s="306"/>
      <c r="D66" s="307"/>
      <c r="E66" s="307"/>
      <c r="F66" s="307"/>
      <c r="G66" s="307"/>
      <c r="H66" s="307"/>
      <c r="I66" s="307"/>
      <c r="J66" s="308"/>
      <c r="K66" s="303"/>
      <c r="L66" s="310" t="s">
        <v>515</v>
      </c>
      <c r="M66" s="112">
        <v>11</v>
      </c>
      <c r="N66" s="311">
        <v>14</v>
      </c>
      <c r="O66" s="311">
        <v>21</v>
      </c>
    </row>
    <row r="67" spans="2:15" ht="15.75" x14ac:dyDescent="0.25">
      <c r="B67" s="306"/>
      <c r="C67" s="306"/>
      <c r="D67" s="307"/>
      <c r="E67" s="307"/>
      <c r="F67" s="307"/>
      <c r="G67" s="307"/>
      <c r="H67" s="307"/>
      <c r="I67" s="307"/>
      <c r="J67" s="308"/>
      <c r="K67" s="303"/>
      <c r="L67" s="310" t="s">
        <v>516</v>
      </c>
      <c r="M67" s="112">
        <v>15</v>
      </c>
      <c r="N67" s="311">
        <v>21</v>
      </c>
      <c r="O67" s="311">
        <v>29</v>
      </c>
    </row>
    <row r="68" spans="2:15" ht="15.75" x14ac:dyDescent="0.25">
      <c r="B68" s="306"/>
      <c r="C68" s="306"/>
      <c r="D68" s="307"/>
      <c r="E68" s="307"/>
      <c r="F68" s="307"/>
      <c r="G68" s="307"/>
      <c r="H68" s="307"/>
      <c r="I68" s="307"/>
      <c r="J68" s="308"/>
      <c r="K68" s="303"/>
      <c r="L68" s="310" t="s">
        <v>517</v>
      </c>
      <c r="M68" s="112">
        <v>32</v>
      </c>
      <c r="N68" s="311">
        <v>45</v>
      </c>
      <c r="O68" s="311">
        <v>60</v>
      </c>
    </row>
    <row r="69" spans="2:15" ht="15.75" x14ac:dyDescent="0.25">
      <c r="B69" s="306"/>
      <c r="C69" s="306"/>
      <c r="D69" s="307"/>
      <c r="E69" s="307"/>
      <c r="F69" s="307"/>
      <c r="G69" s="307"/>
      <c r="H69" s="307"/>
      <c r="I69" s="307"/>
      <c r="J69" s="308"/>
      <c r="K69" s="303"/>
      <c r="L69" s="303"/>
      <c r="M69" s="303"/>
      <c r="N69" s="303"/>
      <c r="O69" s="303"/>
    </row>
    <row r="70" spans="2:15" ht="15.75" x14ac:dyDescent="0.25">
      <c r="B70" s="306"/>
      <c r="C70" s="306"/>
      <c r="D70" s="307"/>
      <c r="E70" s="307"/>
      <c r="F70" s="307"/>
      <c r="G70" s="307"/>
      <c r="H70" s="307"/>
      <c r="I70" s="307"/>
      <c r="J70" s="308"/>
      <c r="K70" s="303"/>
      <c r="L70" s="305" t="s">
        <v>518</v>
      </c>
      <c r="M70" s="303"/>
      <c r="N70" s="303"/>
      <c r="O70" s="303"/>
    </row>
    <row r="71" spans="2:15" ht="15.75" x14ac:dyDescent="0.25">
      <c r="B71" s="306"/>
      <c r="C71" s="306"/>
      <c r="D71" s="307"/>
      <c r="E71" s="307"/>
      <c r="F71" s="307"/>
      <c r="G71" s="307"/>
      <c r="H71" s="307"/>
      <c r="I71" s="307"/>
      <c r="J71" s="308"/>
      <c r="K71" s="303"/>
      <c r="L71" s="310" t="s">
        <v>519</v>
      </c>
      <c r="M71" s="310" t="s">
        <v>520</v>
      </c>
      <c r="N71" s="364" t="s">
        <v>521</v>
      </c>
      <c r="O71" s="365"/>
    </row>
    <row r="72" spans="2:15" ht="15.75" x14ac:dyDescent="0.25">
      <c r="B72" s="306"/>
      <c r="C72" s="306"/>
      <c r="D72" s="307"/>
      <c r="E72" s="307"/>
      <c r="F72" s="307"/>
      <c r="G72" s="307"/>
      <c r="H72" s="307"/>
      <c r="I72" s="307"/>
      <c r="J72" s="308"/>
      <c r="K72" s="303"/>
      <c r="L72" s="310" t="s">
        <v>514</v>
      </c>
      <c r="M72" s="310" t="s">
        <v>522</v>
      </c>
      <c r="N72" s="310" t="s">
        <v>525</v>
      </c>
      <c r="O72" s="310"/>
    </row>
    <row r="73" spans="2:15" ht="15.75" x14ac:dyDescent="0.25">
      <c r="B73" s="306"/>
      <c r="C73" s="306"/>
      <c r="D73" s="307"/>
      <c r="E73" s="307"/>
      <c r="F73" s="307"/>
      <c r="G73" s="307"/>
      <c r="H73" s="307"/>
      <c r="I73" s="307"/>
      <c r="J73" s="308"/>
      <c r="K73" s="303"/>
      <c r="L73" s="310" t="s">
        <v>515</v>
      </c>
      <c r="M73" s="310" t="s">
        <v>523</v>
      </c>
      <c r="N73" s="310" t="s">
        <v>526</v>
      </c>
      <c r="O73" s="310"/>
    </row>
    <row r="74" spans="2:15" ht="15.75" x14ac:dyDescent="0.25">
      <c r="B74" s="306"/>
      <c r="C74" s="306"/>
      <c r="D74" s="307"/>
      <c r="E74" s="307"/>
      <c r="F74" s="307"/>
      <c r="G74" s="307"/>
      <c r="H74" s="307"/>
      <c r="I74" s="307"/>
      <c r="J74" s="308"/>
      <c r="K74" s="303"/>
      <c r="L74" s="310" t="s">
        <v>516</v>
      </c>
      <c r="M74" s="310" t="s">
        <v>524</v>
      </c>
      <c r="N74" s="310" t="s">
        <v>527</v>
      </c>
      <c r="O74" s="310"/>
    </row>
    <row r="75" spans="2:15" ht="15.75" x14ac:dyDescent="0.25">
      <c r="B75" s="306"/>
      <c r="C75" s="306"/>
      <c r="D75" s="307"/>
      <c r="E75" s="307"/>
      <c r="F75" s="307"/>
      <c r="G75" s="307"/>
      <c r="H75" s="307"/>
      <c r="I75" s="307"/>
      <c r="J75" s="308"/>
      <c r="K75" s="303"/>
      <c r="L75" s="303"/>
      <c r="M75" s="303"/>
      <c r="N75" s="303"/>
      <c r="O75" s="303"/>
    </row>
  </sheetData>
  <mergeCells count="8">
    <mergeCell ref="B63:C63"/>
    <mergeCell ref="B64:C64"/>
    <mergeCell ref="B65:C65"/>
    <mergeCell ref="N71:O71"/>
    <mergeCell ref="A1:L1"/>
    <mergeCell ref="B60:C60"/>
    <mergeCell ref="B61:C61"/>
    <mergeCell ref="B62:C6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6"/>
  <sheetViews>
    <sheetView workbookViewId="0">
      <selection activeCell="H31" sqref="H31"/>
    </sheetView>
  </sheetViews>
  <sheetFormatPr defaultRowHeight="15" x14ac:dyDescent="0.25"/>
  <cols>
    <col min="1" max="1" width="10.28515625" bestFit="1" customWidth="1"/>
  </cols>
  <sheetData>
    <row r="1" spans="1:12" x14ac:dyDescent="0.25">
      <c r="A1" t="s">
        <v>278</v>
      </c>
    </row>
    <row r="2" spans="1:12" x14ac:dyDescent="0.25">
      <c r="A2" t="s">
        <v>279</v>
      </c>
      <c r="G2" s="187" t="s">
        <v>280</v>
      </c>
    </row>
    <row r="3" spans="1:12" x14ac:dyDescent="0.25">
      <c r="A3" t="s">
        <v>281</v>
      </c>
    </row>
    <row r="4" spans="1:12" x14ac:dyDescent="0.25">
      <c r="A4" t="s">
        <v>287</v>
      </c>
    </row>
    <row r="5" spans="1:12" x14ac:dyDescent="0.25">
      <c r="A5" t="s">
        <v>282</v>
      </c>
    </row>
    <row r="6" spans="1:12" x14ac:dyDescent="0.25">
      <c r="A6" t="s">
        <v>288</v>
      </c>
    </row>
    <row r="7" spans="1:12" x14ac:dyDescent="0.25">
      <c r="B7" t="s">
        <v>289</v>
      </c>
    </row>
    <row r="8" spans="1:12" x14ac:dyDescent="0.25">
      <c r="A8" t="s">
        <v>290</v>
      </c>
    </row>
    <row r="9" spans="1:12" x14ac:dyDescent="0.25">
      <c r="A9" t="s">
        <v>283</v>
      </c>
    </row>
    <row r="10" spans="1:12" x14ac:dyDescent="0.25">
      <c r="A10" t="s">
        <v>284</v>
      </c>
    </row>
    <row r="11" spans="1:12" x14ac:dyDescent="0.25">
      <c r="A11" t="s">
        <v>291</v>
      </c>
      <c r="L11" s="187" t="s">
        <v>285</v>
      </c>
    </row>
    <row r="12" spans="1:12" x14ac:dyDescent="0.25">
      <c r="A12" t="s">
        <v>286</v>
      </c>
      <c r="L12" s="187"/>
    </row>
    <row r="13" spans="1:12" x14ac:dyDescent="0.25">
      <c r="A13" t="s">
        <v>292</v>
      </c>
    </row>
    <row r="14" spans="1:12" x14ac:dyDescent="0.25">
      <c r="A14" t="s">
        <v>293</v>
      </c>
    </row>
    <row r="15" spans="1:12" x14ac:dyDescent="0.25">
      <c r="B15" t="s">
        <v>294</v>
      </c>
    </row>
    <row r="16" spans="1:12" x14ac:dyDescent="0.25">
      <c r="A16" t="s">
        <v>295</v>
      </c>
    </row>
    <row r="17" spans="1:2" x14ac:dyDescent="0.25">
      <c r="A17" t="s">
        <v>80</v>
      </c>
      <c r="B17" t="s">
        <v>296</v>
      </c>
    </row>
    <row r="18" spans="1:2" x14ac:dyDescent="0.25">
      <c r="A18" t="s">
        <v>297</v>
      </c>
    </row>
    <row r="19" spans="1:2" x14ac:dyDescent="0.25">
      <c r="A19" t="s">
        <v>298</v>
      </c>
    </row>
    <row r="22" spans="1:2" x14ac:dyDescent="0.25">
      <c r="A22" s="7" t="s">
        <v>299</v>
      </c>
    </row>
    <row r="23" spans="1:2" x14ac:dyDescent="0.25">
      <c r="A23" s="188" t="s">
        <v>300</v>
      </c>
    </row>
    <row r="24" spans="1:2" x14ac:dyDescent="0.25">
      <c r="A24" s="189" t="s">
        <v>301</v>
      </c>
    </row>
    <row r="25" spans="1:2" x14ac:dyDescent="0.25">
      <c r="A25" s="190" t="s">
        <v>302</v>
      </c>
    </row>
    <row r="26" spans="1:2" x14ac:dyDescent="0.25">
      <c r="A26" s="188" t="s">
        <v>303</v>
      </c>
    </row>
    <row r="27" spans="1:2" x14ac:dyDescent="0.25">
      <c r="A27" s="190" t="s">
        <v>320</v>
      </c>
    </row>
    <row r="28" spans="1:2" x14ac:dyDescent="0.25">
      <c r="A28" s="190"/>
      <c r="B28" t="s">
        <v>321</v>
      </c>
    </row>
    <row r="29" spans="1:2" x14ac:dyDescent="0.25">
      <c r="A29" s="190" t="s">
        <v>304</v>
      </c>
    </row>
    <row r="30" spans="1:2" x14ac:dyDescent="0.25">
      <c r="A30" s="188" t="s">
        <v>305</v>
      </c>
    </row>
    <row r="31" spans="1:2" x14ac:dyDescent="0.25">
      <c r="A31" s="189" t="s">
        <v>306</v>
      </c>
    </row>
    <row r="32" spans="1:2" x14ac:dyDescent="0.25">
      <c r="A32" s="188" t="s">
        <v>307</v>
      </c>
    </row>
    <row r="33" spans="1:1" x14ac:dyDescent="0.25">
      <c r="A33" s="189" t="s">
        <v>301</v>
      </c>
    </row>
    <row r="34" spans="1:1" x14ac:dyDescent="0.25">
      <c r="A34" s="190" t="s">
        <v>308</v>
      </c>
    </row>
    <row r="35" spans="1:1" x14ac:dyDescent="0.25">
      <c r="A35" s="190" t="s">
        <v>309</v>
      </c>
    </row>
    <row r="36" spans="1:1" x14ac:dyDescent="0.25">
      <c r="A36" s="191" t="s">
        <v>310</v>
      </c>
    </row>
    <row r="37" spans="1:1" x14ac:dyDescent="0.25">
      <c r="A37" s="191" t="s">
        <v>311</v>
      </c>
    </row>
    <row r="38" spans="1:1" x14ac:dyDescent="0.25">
      <c r="A38" s="188" t="s">
        <v>312</v>
      </c>
    </row>
    <row r="39" spans="1:1" x14ac:dyDescent="0.25">
      <c r="A39" s="192" t="s">
        <v>313</v>
      </c>
    </row>
    <row r="40" spans="1:1" x14ac:dyDescent="0.25">
      <c r="A40" s="189" t="s">
        <v>314</v>
      </c>
    </row>
    <row r="41" spans="1:1" x14ac:dyDescent="0.25">
      <c r="A41" s="188" t="s">
        <v>315</v>
      </c>
    </row>
    <row r="42" spans="1:1" x14ac:dyDescent="0.25">
      <c r="A42" s="189" t="s">
        <v>316</v>
      </c>
    </row>
    <row r="43" spans="1:1" x14ac:dyDescent="0.25">
      <c r="A43" s="193" t="s">
        <v>280</v>
      </c>
    </row>
    <row r="44" spans="1:1" x14ac:dyDescent="0.25">
      <c r="A44" s="194" t="s">
        <v>317</v>
      </c>
    </row>
    <row r="45" spans="1:1" x14ac:dyDescent="0.25">
      <c r="A45" s="188" t="s">
        <v>318</v>
      </c>
    </row>
    <row r="46" spans="1:1" x14ac:dyDescent="0.25">
      <c r="A46" s="188" t="s">
        <v>319</v>
      </c>
    </row>
  </sheetData>
  <hyperlinks>
    <hyperlink ref="G2" r:id="rId1"/>
    <hyperlink ref="L11" r:id="rId2" display="https://insidestate.sdstate.edu/administration/grants-contracts/budgets/Budget Templates/Guide to Allowable Direct Costs Policy Rev 11-13.pdf"/>
    <hyperlink ref="A43"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activeCell="J19" sqref="J1:XFD1048576"/>
    </sheetView>
  </sheetViews>
  <sheetFormatPr defaultColWidth="46.5703125" defaultRowHeight="15" x14ac:dyDescent="0.2"/>
  <cols>
    <col min="1" max="1" width="15.85546875" style="287" customWidth="1"/>
    <col min="2" max="2" width="17" style="287" customWidth="1"/>
    <col min="3" max="8" width="9" style="288" customWidth="1"/>
    <col min="9" max="9" width="24.140625" style="287" customWidth="1"/>
    <col min="10" max="16384" width="46.5703125" style="281"/>
  </cols>
  <sheetData>
    <row r="1" spans="1:9" ht="15.75" x14ac:dyDescent="0.25">
      <c r="A1" s="297" t="s">
        <v>458</v>
      </c>
      <c r="B1" s="291"/>
      <c r="C1" s="291"/>
      <c r="D1" s="292"/>
      <c r="E1" s="290"/>
      <c r="F1" s="291"/>
      <c r="G1" s="291"/>
      <c r="H1" s="291"/>
      <c r="I1" s="292"/>
    </row>
    <row r="2" spans="1:9" ht="15.75" x14ac:dyDescent="0.25">
      <c r="A2" s="297" t="s">
        <v>479</v>
      </c>
      <c r="B2" s="368" t="str">
        <f>+Award!E4</f>
        <v xml:space="preserve"> </v>
      </c>
      <c r="C2" s="368"/>
      <c r="D2" s="369"/>
      <c r="E2" s="290"/>
      <c r="F2" s="291"/>
      <c r="G2" s="291"/>
      <c r="H2" s="291"/>
      <c r="I2" s="292"/>
    </row>
    <row r="3" spans="1:9" ht="15.75" x14ac:dyDescent="0.25">
      <c r="A3" s="293"/>
      <c r="B3" s="293"/>
      <c r="C3" s="294" t="s">
        <v>459</v>
      </c>
      <c r="D3" s="294" t="s">
        <v>460</v>
      </c>
      <c r="E3" s="294" t="s">
        <v>461</v>
      </c>
      <c r="F3" s="294" t="s">
        <v>474</v>
      </c>
      <c r="G3" s="294" t="s">
        <v>475</v>
      </c>
      <c r="H3" s="294" t="s">
        <v>462</v>
      </c>
      <c r="I3" s="293" t="s">
        <v>482</v>
      </c>
    </row>
    <row r="4" spans="1:9" ht="15.75" x14ac:dyDescent="0.25">
      <c r="A4" s="298" t="s">
        <v>463</v>
      </c>
      <c r="B4" s="295"/>
      <c r="C4" s="296"/>
      <c r="D4" s="296"/>
      <c r="E4" s="296"/>
      <c r="F4" s="296"/>
      <c r="G4" s="296"/>
      <c r="H4" s="296"/>
      <c r="I4" s="300"/>
    </row>
    <row r="5" spans="1:9" ht="15.75" x14ac:dyDescent="0.25">
      <c r="A5" s="285">
        <f>+Award!C9</f>
        <v>0</v>
      </c>
      <c r="B5" s="285">
        <f>+Award!D9</f>
        <v>0</v>
      </c>
      <c r="C5" s="284">
        <f>+Award!N9</f>
        <v>0</v>
      </c>
      <c r="D5" s="284">
        <f>+Award!Q9</f>
        <v>0</v>
      </c>
      <c r="E5" s="284">
        <f>+Award!T9</f>
        <v>0</v>
      </c>
      <c r="F5" s="284" t="str">
        <f>+Award!W9</f>
        <v xml:space="preserve"> </v>
      </c>
      <c r="G5" s="284" t="str">
        <f>+Award!Z9</f>
        <v xml:space="preserve"> </v>
      </c>
      <c r="H5" s="284">
        <f t="shared" ref="H5:H12" si="0">SUM(C5:G5)</f>
        <v>0</v>
      </c>
      <c r="I5" s="301"/>
    </row>
    <row r="6" spans="1:9" ht="15.75" x14ac:dyDescent="0.25">
      <c r="A6" s="285">
        <f>+Award!C10</f>
        <v>0</v>
      </c>
      <c r="B6" s="285">
        <f>+Award!D10</f>
        <v>0</v>
      </c>
      <c r="C6" s="284">
        <f>+Award!N10</f>
        <v>0</v>
      </c>
      <c r="D6" s="284">
        <f>+Award!Q10</f>
        <v>0</v>
      </c>
      <c r="E6" s="284">
        <f>+Award!T10</f>
        <v>0</v>
      </c>
      <c r="F6" s="284" t="str">
        <f>+Award!W10</f>
        <v xml:space="preserve"> </v>
      </c>
      <c r="G6" s="284" t="str">
        <f>+Award!Z10</f>
        <v xml:space="preserve"> </v>
      </c>
      <c r="H6" s="284">
        <f t="shared" si="0"/>
        <v>0</v>
      </c>
      <c r="I6" s="301"/>
    </row>
    <row r="7" spans="1:9" ht="15.75" x14ac:dyDescent="0.25">
      <c r="A7" s="285">
        <f>+Award!C11</f>
        <v>0</v>
      </c>
      <c r="B7" s="285">
        <f>+Award!D11</f>
        <v>0</v>
      </c>
      <c r="C7" s="284">
        <f>+Award!N11</f>
        <v>0</v>
      </c>
      <c r="D7" s="284">
        <f>+Award!Q11</f>
        <v>0</v>
      </c>
      <c r="E7" s="284">
        <f>+Award!T11</f>
        <v>0</v>
      </c>
      <c r="F7" s="284" t="str">
        <f>+Award!W11</f>
        <v xml:space="preserve"> </v>
      </c>
      <c r="G7" s="284" t="str">
        <f>+Award!Z11</f>
        <v xml:space="preserve"> </v>
      </c>
      <c r="H7" s="284">
        <f t="shared" si="0"/>
        <v>0</v>
      </c>
      <c r="I7" s="301"/>
    </row>
    <row r="8" spans="1:9" ht="15.75" x14ac:dyDescent="0.25">
      <c r="A8" s="285">
        <f>+Award!C12</f>
        <v>0</v>
      </c>
      <c r="B8" s="285">
        <f>+Award!D12</f>
        <v>0</v>
      </c>
      <c r="C8" s="284">
        <f>+Award!N12</f>
        <v>0</v>
      </c>
      <c r="D8" s="284">
        <f>+Award!Q12</f>
        <v>0</v>
      </c>
      <c r="E8" s="284">
        <f>+Award!T12</f>
        <v>0</v>
      </c>
      <c r="F8" s="284" t="str">
        <f>+Award!W12</f>
        <v xml:space="preserve"> </v>
      </c>
      <c r="G8" s="284" t="str">
        <f>+Award!Z12</f>
        <v xml:space="preserve"> </v>
      </c>
      <c r="H8" s="284">
        <f t="shared" si="0"/>
        <v>0</v>
      </c>
      <c r="I8" s="301"/>
    </row>
    <row r="9" spans="1:9" ht="15.75" x14ac:dyDescent="0.25">
      <c r="A9" s="285">
        <f>+Award!C13</f>
        <v>0</v>
      </c>
      <c r="B9" s="285">
        <f>+Award!D13</f>
        <v>0</v>
      </c>
      <c r="C9" s="284">
        <f>+Award!N13</f>
        <v>0</v>
      </c>
      <c r="D9" s="284">
        <f>+Award!Q13</f>
        <v>0</v>
      </c>
      <c r="E9" s="284">
        <f>+Award!T13</f>
        <v>0</v>
      </c>
      <c r="F9" s="284" t="str">
        <f>+Award!W13</f>
        <v xml:space="preserve"> </v>
      </c>
      <c r="G9" s="284" t="str">
        <f>+Award!Z13</f>
        <v xml:space="preserve"> </v>
      </c>
      <c r="H9" s="284">
        <f t="shared" si="0"/>
        <v>0</v>
      </c>
      <c r="I9" s="301"/>
    </row>
    <row r="10" spans="1:9" ht="15.75" x14ac:dyDescent="0.25">
      <c r="A10" s="285">
        <f>+Award!C14</f>
        <v>0</v>
      </c>
      <c r="B10" s="285">
        <f>+Award!D14</f>
        <v>0</v>
      </c>
      <c r="C10" s="284">
        <f>+Award!N14</f>
        <v>0</v>
      </c>
      <c r="D10" s="284">
        <f>+Award!Q14</f>
        <v>0</v>
      </c>
      <c r="E10" s="284">
        <f>+Award!T14</f>
        <v>0</v>
      </c>
      <c r="F10" s="284" t="str">
        <f>+Award!W14</f>
        <v xml:space="preserve"> </v>
      </c>
      <c r="G10" s="284" t="str">
        <f>+Award!Z14</f>
        <v xml:space="preserve"> </v>
      </c>
      <c r="H10" s="284">
        <f t="shared" si="0"/>
        <v>0</v>
      </c>
      <c r="I10" s="301"/>
    </row>
    <row r="11" spans="1:9" ht="15.75" x14ac:dyDescent="0.25">
      <c r="A11" s="285">
        <f>+Award!C15</f>
        <v>0</v>
      </c>
      <c r="B11" s="285">
        <f>+Award!D15</f>
        <v>0</v>
      </c>
      <c r="C11" s="284">
        <f>+Award!N15</f>
        <v>0</v>
      </c>
      <c r="D11" s="284">
        <f>+Award!Q15</f>
        <v>0</v>
      </c>
      <c r="E11" s="284">
        <f>+Award!T15</f>
        <v>0</v>
      </c>
      <c r="F11" s="284" t="str">
        <f>+Award!W15</f>
        <v xml:space="preserve"> </v>
      </c>
      <c r="G11" s="284" t="str">
        <f>+Award!Z15</f>
        <v xml:space="preserve"> </v>
      </c>
      <c r="H11" s="284">
        <f t="shared" si="0"/>
        <v>0</v>
      </c>
      <c r="I11" s="301"/>
    </row>
    <row r="12" spans="1:9" ht="15.75" x14ac:dyDescent="0.25">
      <c r="A12" s="285">
        <f>+Award!C16</f>
        <v>0</v>
      </c>
      <c r="B12" s="285">
        <f>+Award!D16</f>
        <v>0</v>
      </c>
      <c r="C12" s="284">
        <f>+Award!N16</f>
        <v>0</v>
      </c>
      <c r="D12" s="284">
        <f>+Award!Q16</f>
        <v>0</v>
      </c>
      <c r="E12" s="284">
        <f>+Award!T16</f>
        <v>0</v>
      </c>
      <c r="F12" s="284" t="str">
        <f>+Award!W16</f>
        <v xml:space="preserve"> </v>
      </c>
      <c r="G12" s="284" t="str">
        <f>+Award!Z16</f>
        <v xml:space="preserve"> </v>
      </c>
      <c r="H12" s="284">
        <f t="shared" si="0"/>
        <v>0</v>
      </c>
      <c r="I12" s="301"/>
    </row>
    <row r="13" spans="1:9" ht="15.75" customHeight="1" x14ac:dyDescent="0.25">
      <c r="A13" s="282">
        <f>+Award!C17</f>
        <v>0</v>
      </c>
      <c r="B13" s="282">
        <f>+Award!D17</f>
        <v>0</v>
      </c>
      <c r="C13" s="283">
        <f>+Award!N17</f>
        <v>0</v>
      </c>
      <c r="D13" s="283">
        <f>+Award!Q17</f>
        <v>0</v>
      </c>
      <c r="E13" s="283">
        <f>+Award!T17</f>
        <v>0</v>
      </c>
      <c r="F13" s="283" t="str">
        <f>+Award!W17</f>
        <v xml:space="preserve"> </v>
      </c>
      <c r="G13" s="283" t="str">
        <f>+Award!Z17</f>
        <v xml:space="preserve"> </v>
      </c>
      <c r="H13" s="283">
        <f t="shared" ref="H13:H19" si="1">SUM(C13:G13)</f>
        <v>0</v>
      </c>
      <c r="I13" s="301"/>
    </row>
    <row r="14" spans="1:9" ht="15.75" customHeight="1" x14ac:dyDescent="0.25">
      <c r="A14" s="282">
        <f>+Award!C18</f>
        <v>0</v>
      </c>
      <c r="B14" s="282">
        <f>+Award!D18</f>
        <v>0</v>
      </c>
      <c r="C14" s="283">
        <f>+Award!N18</f>
        <v>0</v>
      </c>
      <c r="D14" s="283">
        <f>+Award!Q18</f>
        <v>0</v>
      </c>
      <c r="E14" s="283">
        <f>+Award!T18</f>
        <v>0</v>
      </c>
      <c r="F14" s="283" t="str">
        <f>+Award!W18</f>
        <v xml:space="preserve"> </v>
      </c>
      <c r="G14" s="283" t="str">
        <f>+Award!Z18</f>
        <v xml:space="preserve"> </v>
      </c>
      <c r="H14" s="283">
        <f t="shared" si="1"/>
        <v>0</v>
      </c>
      <c r="I14" s="301"/>
    </row>
    <row r="15" spans="1:9" ht="15.75" customHeight="1" x14ac:dyDescent="0.25">
      <c r="A15" s="282">
        <f>+Award!C19</f>
        <v>0</v>
      </c>
      <c r="B15" s="282">
        <f>+Award!D19</f>
        <v>0</v>
      </c>
      <c r="C15" s="283">
        <f>+Award!N19</f>
        <v>0</v>
      </c>
      <c r="D15" s="283">
        <f>+Award!Q19</f>
        <v>0</v>
      </c>
      <c r="E15" s="283">
        <f>+Award!T19</f>
        <v>0</v>
      </c>
      <c r="F15" s="283" t="str">
        <f>+Award!W19</f>
        <v xml:space="preserve"> </v>
      </c>
      <c r="G15" s="283" t="str">
        <f>+Award!Z19</f>
        <v xml:space="preserve"> </v>
      </c>
      <c r="H15" s="283">
        <f t="shared" si="1"/>
        <v>0</v>
      </c>
      <c r="I15" s="301"/>
    </row>
    <row r="16" spans="1:9" ht="15.75" customHeight="1" x14ac:dyDescent="0.25">
      <c r="A16" s="282">
        <f>+Award!C20</f>
        <v>0</v>
      </c>
      <c r="B16" s="282">
        <f>+Award!D20</f>
        <v>0</v>
      </c>
      <c r="C16" s="283">
        <f>+Award!N20</f>
        <v>0</v>
      </c>
      <c r="D16" s="283">
        <f>+Award!Q20</f>
        <v>0</v>
      </c>
      <c r="E16" s="283">
        <f>+Award!T20</f>
        <v>0</v>
      </c>
      <c r="F16" s="283" t="str">
        <f>+Award!W20</f>
        <v xml:space="preserve"> </v>
      </c>
      <c r="G16" s="283" t="str">
        <f>+Award!Z20</f>
        <v xml:space="preserve"> </v>
      </c>
      <c r="H16" s="283">
        <f t="shared" si="1"/>
        <v>0</v>
      </c>
      <c r="I16" s="301"/>
    </row>
    <row r="17" spans="1:9" ht="15.75" customHeight="1" x14ac:dyDescent="0.25">
      <c r="A17" s="282">
        <f>+Award!C21</f>
        <v>0</v>
      </c>
      <c r="B17" s="282">
        <f>+Award!D21</f>
        <v>0</v>
      </c>
      <c r="C17" s="283">
        <f>+Award!N21</f>
        <v>0</v>
      </c>
      <c r="D17" s="283">
        <f>+Award!Q21</f>
        <v>0</v>
      </c>
      <c r="E17" s="283">
        <f>+Award!T21</f>
        <v>0</v>
      </c>
      <c r="F17" s="283" t="str">
        <f>+Award!W21</f>
        <v xml:space="preserve"> </v>
      </c>
      <c r="G17" s="283" t="str">
        <f>+Award!Z21</f>
        <v xml:space="preserve"> </v>
      </c>
      <c r="H17" s="283">
        <f t="shared" si="1"/>
        <v>0</v>
      </c>
      <c r="I17" s="301"/>
    </row>
    <row r="18" spans="1:9" ht="15.75" customHeight="1" x14ac:dyDescent="0.25">
      <c r="A18" s="282">
        <f>+Award!C22</f>
        <v>0</v>
      </c>
      <c r="B18" s="282">
        <f>+Award!D22</f>
        <v>0</v>
      </c>
      <c r="C18" s="283">
        <f>+Award!N22</f>
        <v>0</v>
      </c>
      <c r="D18" s="283">
        <f>+Award!Q22</f>
        <v>0</v>
      </c>
      <c r="E18" s="283">
        <f>+Award!T22</f>
        <v>0</v>
      </c>
      <c r="F18" s="283" t="str">
        <f>+Award!W22</f>
        <v xml:space="preserve"> </v>
      </c>
      <c r="G18" s="283" t="str">
        <f>+Award!Z22</f>
        <v xml:space="preserve"> </v>
      </c>
      <c r="H18" s="283">
        <f t="shared" si="1"/>
        <v>0</v>
      </c>
      <c r="I18" s="301"/>
    </row>
    <row r="19" spans="1:9" ht="15.75" customHeight="1" x14ac:dyDescent="0.25">
      <c r="A19" s="282">
        <f>+Award!C23</f>
        <v>0</v>
      </c>
      <c r="B19" s="282">
        <f>+Award!D23</f>
        <v>0</v>
      </c>
      <c r="C19" s="283">
        <f>+Award!N23</f>
        <v>0</v>
      </c>
      <c r="D19" s="283">
        <f>+Award!Q23</f>
        <v>0</v>
      </c>
      <c r="E19" s="283">
        <f>+Award!T23</f>
        <v>0</v>
      </c>
      <c r="F19" s="283" t="str">
        <f>+Award!W23</f>
        <v xml:space="preserve"> </v>
      </c>
      <c r="G19" s="283" t="str">
        <f>+Award!Z23</f>
        <v xml:space="preserve"> </v>
      </c>
      <c r="H19" s="283">
        <f t="shared" si="1"/>
        <v>0</v>
      </c>
      <c r="I19" s="301"/>
    </row>
    <row r="20" spans="1:9" ht="15.75" customHeight="1" x14ac:dyDescent="0.25">
      <c r="A20" s="282">
        <f>+Award!C24</f>
        <v>0</v>
      </c>
      <c r="B20" s="282">
        <f>+Award!D24</f>
        <v>0</v>
      </c>
      <c r="C20" s="283">
        <f>+Award!N24</f>
        <v>0</v>
      </c>
      <c r="D20" s="283">
        <f>+Award!Q24</f>
        <v>0</v>
      </c>
      <c r="E20" s="283">
        <f>+Award!T24</f>
        <v>0</v>
      </c>
      <c r="F20" s="283" t="str">
        <f>+Award!W24</f>
        <v xml:space="preserve"> </v>
      </c>
      <c r="G20" s="283" t="str">
        <f>+Award!Z24</f>
        <v xml:space="preserve"> </v>
      </c>
      <c r="H20" s="283">
        <f t="shared" ref="H20" si="2">SUM(C20:G20)</f>
        <v>0</v>
      </c>
      <c r="I20" s="301"/>
    </row>
    <row r="21" spans="1:9" ht="31.5" x14ac:dyDescent="0.25">
      <c r="A21" s="282" t="s">
        <v>476</v>
      </c>
      <c r="B21" s="282" t="s">
        <v>80</v>
      </c>
      <c r="C21" s="284">
        <f>+Award!N34</f>
        <v>0</v>
      </c>
      <c r="D21" s="284">
        <f>+Award!Q34</f>
        <v>0</v>
      </c>
      <c r="E21" s="284">
        <f>+Award!T34</f>
        <v>0</v>
      </c>
      <c r="F21" s="284">
        <f>+Award!W34</f>
        <v>0</v>
      </c>
      <c r="G21" s="284">
        <f>+Award!Z34</f>
        <v>0</v>
      </c>
      <c r="H21" s="284">
        <f>SUM(C21:G21)</f>
        <v>0</v>
      </c>
      <c r="I21" s="302"/>
    </row>
    <row r="22" spans="1:9" ht="15.75" x14ac:dyDescent="0.25">
      <c r="A22" s="295" t="s">
        <v>464</v>
      </c>
      <c r="B22" s="295"/>
      <c r="C22" s="296">
        <f>SUM(C4:C21)</f>
        <v>0</v>
      </c>
      <c r="D22" s="296">
        <f>SUM(D4:D21)</f>
        <v>0</v>
      </c>
      <c r="E22" s="296">
        <f>SUM(E4:E21)</f>
        <v>0</v>
      </c>
      <c r="F22" s="296">
        <f>SUM(F4:F21)</f>
        <v>0</v>
      </c>
      <c r="G22" s="296">
        <f>SUM(G4:G21)</f>
        <v>0</v>
      </c>
      <c r="H22" s="299">
        <f t="shared" ref="H22:H33" si="3">SUM(C22:G22)</f>
        <v>0</v>
      </c>
      <c r="I22" s="285"/>
    </row>
    <row r="23" spans="1:9" ht="15.75" x14ac:dyDescent="0.25">
      <c r="A23" s="289" t="s">
        <v>465</v>
      </c>
      <c r="B23" s="282"/>
      <c r="C23" s="284">
        <f>+Award!N41</f>
        <v>0</v>
      </c>
      <c r="D23" s="284">
        <f>+Award!Q41</f>
        <v>0</v>
      </c>
      <c r="E23" s="284">
        <f>+Award!T41</f>
        <v>0</v>
      </c>
      <c r="F23" s="284">
        <f>+Award!W41</f>
        <v>0</v>
      </c>
      <c r="G23" s="284">
        <f>+Award!Z41</f>
        <v>0</v>
      </c>
      <c r="H23" s="284">
        <f t="shared" si="3"/>
        <v>0</v>
      </c>
      <c r="I23" s="285"/>
    </row>
    <row r="24" spans="1:9" ht="15.75" x14ac:dyDescent="0.25">
      <c r="A24" s="289" t="s">
        <v>466</v>
      </c>
      <c r="B24" s="282"/>
      <c r="C24" s="284">
        <f>+Award!N46</f>
        <v>0</v>
      </c>
      <c r="D24" s="284">
        <f>+Award!Q46</f>
        <v>0</v>
      </c>
      <c r="E24" s="284">
        <f>+Award!T46</f>
        <v>0</v>
      </c>
      <c r="F24" s="284">
        <f>+Award!W46</f>
        <v>0</v>
      </c>
      <c r="G24" s="284">
        <f>+Award!Z46</f>
        <v>0</v>
      </c>
      <c r="H24" s="284">
        <f t="shared" si="3"/>
        <v>0</v>
      </c>
      <c r="I24" s="285"/>
    </row>
    <row r="25" spans="1:9" ht="15.75" x14ac:dyDescent="0.25">
      <c r="A25" s="289" t="s">
        <v>478</v>
      </c>
      <c r="B25" s="282"/>
      <c r="C25" s="284">
        <f>+Award!N58</f>
        <v>0</v>
      </c>
      <c r="D25" s="284">
        <f>+Award!Q58</f>
        <v>0</v>
      </c>
      <c r="E25" s="284">
        <f>+Award!T58</f>
        <v>0</v>
      </c>
      <c r="F25" s="284">
        <f>+Award!W58</f>
        <v>0</v>
      </c>
      <c r="G25" s="284">
        <f>+Award!Z58</f>
        <v>0</v>
      </c>
      <c r="H25" s="284">
        <f t="shared" si="3"/>
        <v>0</v>
      </c>
      <c r="I25" s="285"/>
    </row>
    <row r="26" spans="1:9" ht="15.75" x14ac:dyDescent="0.25">
      <c r="A26" s="289" t="s">
        <v>467</v>
      </c>
      <c r="B26" s="282"/>
      <c r="C26" s="284">
        <f>+Award!N51</f>
        <v>0</v>
      </c>
      <c r="D26" s="284">
        <f>+Award!Q51</f>
        <v>0</v>
      </c>
      <c r="E26" s="284">
        <f>+Award!T51</f>
        <v>0</v>
      </c>
      <c r="F26" s="284">
        <f>+Award!W51</f>
        <v>0</v>
      </c>
      <c r="G26" s="284">
        <f>+Award!Z51</f>
        <v>0</v>
      </c>
      <c r="H26" s="284">
        <f t="shared" si="3"/>
        <v>0</v>
      </c>
      <c r="I26" s="285"/>
    </row>
    <row r="27" spans="1:9" ht="15.75" x14ac:dyDescent="0.25">
      <c r="A27" s="289" t="s">
        <v>468</v>
      </c>
      <c r="B27" s="282"/>
      <c r="C27" s="284">
        <f>+Award!N61</f>
        <v>0</v>
      </c>
      <c r="D27" s="284">
        <f>+Award!Q61</f>
        <v>0</v>
      </c>
      <c r="E27" s="284">
        <f>+Award!T61</f>
        <v>0</v>
      </c>
      <c r="F27" s="284">
        <f>+Award!W61</f>
        <v>0</v>
      </c>
      <c r="G27" s="284">
        <f>+Award!Z61</f>
        <v>0</v>
      </c>
      <c r="H27" s="284">
        <f t="shared" si="3"/>
        <v>0</v>
      </c>
      <c r="I27" s="285"/>
    </row>
    <row r="28" spans="1:9" ht="15.75" x14ac:dyDescent="0.25">
      <c r="A28" s="289" t="s">
        <v>469</v>
      </c>
      <c r="B28" s="282"/>
      <c r="C28" s="284">
        <f>+Award!N62</f>
        <v>0</v>
      </c>
      <c r="D28" s="284">
        <f>+Award!Q62</f>
        <v>0</v>
      </c>
      <c r="E28" s="284">
        <f>+Award!T62</f>
        <v>0</v>
      </c>
      <c r="F28" s="284">
        <f>+Award!W62</f>
        <v>0</v>
      </c>
      <c r="G28" s="284">
        <f>+Award!Z62</f>
        <v>0</v>
      </c>
      <c r="H28" s="284">
        <f t="shared" si="3"/>
        <v>0</v>
      </c>
      <c r="I28" s="285"/>
    </row>
    <row r="29" spans="1:9" ht="15.75" x14ac:dyDescent="0.25">
      <c r="A29" s="289" t="s">
        <v>470</v>
      </c>
      <c r="B29" s="282"/>
      <c r="C29" s="284">
        <f>+Award!N63</f>
        <v>0</v>
      </c>
      <c r="D29" s="284">
        <f>+Award!Q63</f>
        <v>0</v>
      </c>
      <c r="E29" s="284">
        <f>+Award!T63</f>
        <v>0</v>
      </c>
      <c r="F29" s="284">
        <f>+Award!W63</f>
        <v>0</v>
      </c>
      <c r="G29" s="284">
        <f>+Award!Z63</f>
        <v>0</v>
      </c>
      <c r="H29" s="284">
        <f t="shared" si="3"/>
        <v>0</v>
      </c>
      <c r="I29" s="285"/>
    </row>
    <row r="30" spans="1:9" ht="15.75" x14ac:dyDescent="0.25">
      <c r="A30" s="289" t="s">
        <v>528</v>
      </c>
      <c r="B30" s="282"/>
      <c r="C30" s="284">
        <f>+Award!N87</f>
        <v>0</v>
      </c>
      <c r="D30" s="284">
        <f>+Award!Q87</f>
        <v>0</v>
      </c>
      <c r="E30" s="284">
        <f>+Award!T87</f>
        <v>0</v>
      </c>
      <c r="F30" s="284">
        <f>+Award!W87</f>
        <v>0</v>
      </c>
      <c r="G30" s="284">
        <f>+Award!Z87</f>
        <v>0</v>
      </c>
      <c r="H30" s="284">
        <f t="shared" si="3"/>
        <v>0</v>
      </c>
      <c r="I30" s="285"/>
    </row>
    <row r="31" spans="1:9" ht="15.75" x14ac:dyDescent="0.25">
      <c r="A31" s="298" t="s">
        <v>471</v>
      </c>
      <c r="B31" s="295"/>
      <c r="C31" s="299">
        <f>SUM(C22:C29)</f>
        <v>0</v>
      </c>
      <c r="D31" s="299">
        <f>SUM(D22:D29)</f>
        <v>0</v>
      </c>
      <c r="E31" s="299">
        <f>SUM(E22:E29)</f>
        <v>0</v>
      </c>
      <c r="F31" s="299">
        <f>SUM(F22:F29)</f>
        <v>0</v>
      </c>
      <c r="G31" s="299">
        <f>SUM(G22:G29)</f>
        <v>0</v>
      </c>
      <c r="H31" s="299">
        <f t="shared" si="3"/>
        <v>0</v>
      </c>
      <c r="I31" s="285"/>
    </row>
    <row r="32" spans="1:9" ht="15.75" x14ac:dyDescent="0.25">
      <c r="A32" s="289" t="s">
        <v>477</v>
      </c>
      <c r="B32" s="282"/>
      <c r="C32" s="284">
        <f>+Award!N86</f>
        <v>0</v>
      </c>
      <c r="D32" s="284">
        <f>+Award!Q86</f>
        <v>0</v>
      </c>
      <c r="E32" s="284">
        <f>+Award!T86</f>
        <v>0</v>
      </c>
      <c r="F32" s="284">
        <f>+Award!W86</f>
        <v>0</v>
      </c>
      <c r="G32" s="284">
        <f>+Award!Z86</f>
        <v>0</v>
      </c>
      <c r="H32" s="284">
        <f t="shared" si="3"/>
        <v>0</v>
      </c>
      <c r="I32" s="285"/>
    </row>
    <row r="33" spans="1:9" ht="15.75" x14ac:dyDescent="0.25">
      <c r="A33" s="282" t="s">
        <v>472</v>
      </c>
      <c r="B33" s="282"/>
      <c r="C33" s="284">
        <f>+Award!N96</f>
        <v>0</v>
      </c>
      <c r="D33" s="284">
        <f>+Award!Q96</f>
        <v>0</v>
      </c>
      <c r="E33" s="284">
        <f>+Award!T96</f>
        <v>0</v>
      </c>
      <c r="F33" s="284">
        <f>+Award!W96</f>
        <v>0</v>
      </c>
      <c r="G33" s="284">
        <f>+Award!Z96</f>
        <v>0</v>
      </c>
      <c r="H33" s="284">
        <f t="shared" si="3"/>
        <v>0</v>
      </c>
      <c r="I33" s="285"/>
    </row>
    <row r="34" spans="1:9" s="286" customFormat="1" ht="15.75" x14ac:dyDescent="0.25">
      <c r="A34" s="295" t="s">
        <v>473</v>
      </c>
      <c r="B34" s="295"/>
      <c r="C34" s="296">
        <f>SUM(C31:C33)</f>
        <v>0</v>
      </c>
      <c r="D34" s="296">
        <f>SUM(D31:D33)</f>
        <v>0</v>
      </c>
      <c r="E34" s="296">
        <f>SUM(E31:E33)</f>
        <v>0</v>
      </c>
      <c r="F34" s="296">
        <f>SUM(F31:F33)</f>
        <v>0</v>
      </c>
      <c r="G34" s="296">
        <f>SUM(G31:G33)</f>
        <v>0</v>
      </c>
      <c r="H34" s="296">
        <f>SUM(C34:G34)</f>
        <v>0</v>
      </c>
      <c r="I34" s="295"/>
    </row>
  </sheetData>
  <mergeCells count="1">
    <mergeCell ref="B2:D2"/>
  </mergeCells>
  <pageMargins left="0.7" right="0.7"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BS101"/>
  <sheetViews>
    <sheetView zoomScaleNormal="100" workbookViewId="0">
      <selection activeCell="C1" sqref="A1:AL101"/>
    </sheetView>
  </sheetViews>
  <sheetFormatPr defaultRowHeight="15" x14ac:dyDescent="0.25"/>
  <cols>
    <col min="1" max="1" width="5.28515625" customWidth="1"/>
    <col min="2" max="2" width="3.140625" customWidth="1"/>
    <col min="3" max="3" width="6.5703125" customWidth="1"/>
    <col min="4" max="4" width="26" customWidth="1"/>
    <col min="5" max="5" width="1.140625" customWidth="1"/>
    <col min="6" max="6" width="8.85546875" customWidth="1"/>
    <col min="7" max="7" width="3.42578125" customWidth="1"/>
    <col min="8" max="8" width="14.85546875" bestFit="1" customWidth="1"/>
    <col min="9" max="9" width="4.140625" customWidth="1"/>
    <col min="10" max="10" width="5.140625" customWidth="1"/>
    <col min="11" max="11" width="1.85546875" customWidth="1"/>
    <col min="12" max="12" width="8.7109375" customWidth="1"/>
    <col min="13" max="13" width="10" bestFit="1" customWidth="1"/>
    <col min="14" max="14" width="13.28515625" customWidth="1"/>
    <col min="15" max="15" width="8.7109375" customWidth="1"/>
    <col min="16" max="16" width="10" bestFit="1" customWidth="1"/>
    <col min="17" max="17" width="12.7109375" customWidth="1"/>
    <col min="18" max="18" width="8.7109375" customWidth="1"/>
    <col min="19" max="19" width="10.140625" customWidth="1"/>
    <col min="20" max="20" width="12.7109375" customWidth="1"/>
    <col min="21" max="21" width="8" hidden="1" customWidth="1"/>
    <col min="22" max="22" width="10.28515625" hidden="1" customWidth="1"/>
    <col min="23" max="23" width="12.7109375" hidden="1" customWidth="1"/>
    <col min="24" max="24" width="8.7109375" hidden="1" customWidth="1"/>
    <col min="25" max="25" width="8" hidden="1" customWidth="1"/>
    <col min="26" max="26" width="12.7109375" hidden="1" customWidth="1"/>
    <col min="27" max="27" width="12.7109375" customWidth="1"/>
    <col min="28" max="28" width="13.140625" customWidth="1"/>
    <col min="29" max="29" width="10.5703125" bestFit="1" customWidth="1"/>
    <col min="31" max="32" width="0" hidden="1" customWidth="1"/>
    <col min="33" max="33" width="10.5703125" bestFit="1" customWidth="1"/>
    <col min="34" max="36" width="11.5703125" bestFit="1" customWidth="1"/>
    <col min="37" max="38" width="11.5703125" hidden="1" customWidth="1"/>
  </cols>
  <sheetData>
    <row r="1" spans="1:71" ht="21.75" thickBot="1" x14ac:dyDescent="0.4">
      <c r="A1" s="370">
        <f>+Award!A1</f>
        <v>42971</v>
      </c>
      <c r="B1" s="371"/>
      <c r="C1" s="204" t="s">
        <v>326</v>
      </c>
      <c r="D1" s="372" t="s">
        <v>325</v>
      </c>
      <c r="E1" s="373"/>
      <c r="F1" s="373"/>
      <c r="G1" s="373"/>
      <c r="H1" s="373"/>
      <c r="I1" s="373"/>
      <c r="J1" s="373"/>
      <c r="K1" s="373"/>
      <c r="L1" s="373"/>
      <c r="M1" s="373"/>
      <c r="N1" s="373"/>
      <c r="O1" s="373"/>
      <c r="P1" s="373"/>
      <c r="Q1" s="373"/>
      <c r="R1" s="373"/>
      <c r="S1" s="373"/>
      <c r="T1" s="373"/>
      <c r="U1" s="373"/>
      <c r="V1" s="373"/>
      <c r="W1" s="373"/>
      <c r="X1" s="373"/>
      <c r="Y1" s="373"/>
      <c r="Z1" s="373"/>
      <c r="AA1" s="373"/>
    </row>
    <row r="2" spans="1:71" ht="24" customHeight="1" x14ac:dyDescent="0.25">
      <c r="A2" s="7" t="s">
        <v>84</v>
      </c>
      <c r="D2" s="349" t="s">
        <v>559</v>
      </c>
      <c r="E2" s="349"/>
      <c r="F2" s="349"/>
      <c r="G2" s="349"/>
      <c r="H2" s="349"/>
      <c r="I2" s="349"/>
      <c r="J2" s="349"/>
      <c r="K2" s="349"/>
      <c r="L2" s="349"/>
      <c r="M2" s="349"/>
      <c r="N2" s="349"/>
      <c r="O2" s="349"/>
      <c r="P2" s="349"/>
      <c r="Q2" s="349"/>
      <c r="S2" s="30" t="s">
        <v>81</v>
      </c>
      <c r="T2" s="349" t="str">
        <f>+Award!T2</f>
        <v xml:space="preserve"> </v>
      </c>
      <c r="U2" s="349"/>
      <c r="V2" s="349"/>
      <c r="W2" s="349"/>
      <c r="X2" s="349"/>
      <c r="Z2" s="30" t="s">
        <v>82</v>
      </c>
      <c r="AA2" s="59" t="str">
        <f>+Award!AA2</f>
        <v xml:space="preserve"> </v>
      </c>
    </row>
    <row r="3" spans="1:71" s="10" customFormat="1" ht="5.25" customHeight="1" x14ac:dyDescent="0.25">
      <c r="A3" s="32"/>
      <c r="D3" s="33"/>
      <c r="E3" s="33"/>
      <c r="F3" s="33"/>
      <c r="G3" s="33"/>
      <c r="H3" s="33"/>
      <c r="I3" s="33"/>
      <c r="J3" s="33"/>
      <c r="K3" s="33"/>
      <c r="L3" s="33"/>
      <c r="M3" s="33"/>
      <c r="N3" s="33"/>
      <c r="O3" s="33"/>
      <c r="P3" s="33"/>
      <c r="Q3" s="33"/>
      <c r="R3" s="34"/>
      <c r="S3" s="33"/>
      <c r="T3" s="33"/>
      <c r="U3" s="33"/>
      <c r="V3" s="33"/>
      <c r="W3" s="33"/>
      <c r="X3" s="33"/>
      <c r="Z3" s="34"/>
      <c r="AA3" s="35"/>
    </row>
    <row r="4" spans="1:71" ht="24.75" customHeight="1" x14ac:dyDescent="0.25">
      <c r="A4" s="7" t="s">
        <v>274</v>
      </c>
      <c r="E4" s="349" t="str">
        <f>+Award!E4</f>
        <v xml:space="preserve"> </v>
      </c>
      <c r="F4" s="349"/>
      <c r="G4" s="349"/>
      <c r="H4" s="349"/>
      <c r="I4" s="349"/>
      <c r="J4" s="349"/>
      <c r="K4" s="349"/>
      <c r="M4" s="31"/>
      <c r="N4" s="30" t="s">
        <v>95</v>
      </c>
      <c r="O4" s="54" t="str">
        <f>+Award!O4</f>
        <v>FY 19</v>
      </c>
      <c r="Q4" s="7" t="s">
        <v>83</v>
      </c>
      <c r="S4" s="54">
        <f>+Award!S4</f>
        <v>3</v>
      </c>
      <c r="V4" s="30" t="s">
        <v>2</v>
      </c>
      <c r="W4" s="60">
        <f>+Award!W4</f>
        <v>0.03</v>
      </c>
      <c r="Z4" s="106"/>
      <c r="AG4" s="182"/>
    </row>
    <row r="5" spans="1:71" x14ac:dyDescent="0.25">
      <c r="B5" s="1"/>
      <c r="N5" s="1" t="s">
        <v>1</v>
      </c>
      <c r="AG5" s="183"/>
    </row>
    <row r="6" spans="1:71" ht="15.75" thickBot="1" x14ac:dyDescent="0.3">
      <c r="AG6" s="184"/>
    </row>
    <row r="7" spans="1:71" ht="15.75" thickTop="1" x14ac:dyDescent="0.25">
      <c r="A7" t="s">
        <v>3</v>
      </c>
      <c r="B7" s="6" t="s">
        <v>275</v>
      </c>
      <c r="D7" s="6"/>
      <c r="L7" s="350" t="s">
        <v>8</v>
      </c>
      <c r="M7" s="351"/>
      <c r="N7" s="352"/>
      <c r="O7" s="350" t="s">
        <v>9</v>
      </c>
      <c r="P7" s="351"/>
      <c r="Q7" s="352"/>
      <c r="R7" s="350" t="s">
        <v>10</v>
      </c>
      <c r="S7" s="351"/>
      <c r="T7" s="352"/>
      <c r="U7" s="350" t="s">
        <v>11</v>
      </c>
      <c r="V7" s="351"/>
      <c r="W7" s="352"/>
      <c r="X7" s="350" t="s">
        <v>12</v>
      </c>
      <c r="Y7" s="351"/>
      <c r="Z7" s="352"/>
      <c r="AA7" s="25"/>
      <c r="AB7" s="346" t="s">
        <v>101</v>
      </c>
      <c r="AC7" s="347"/>
      <c r="AD7" s="347"/>
      <c r="AE7" s="347"/>
      <c r="AF7" s="348"/>
      <c r="AG7" s="185"/>
      <c r="AH7" s="346" t="s">
        <v>170</v>
      </c>
      <c r="AI7" s="347"/>
      <c r="AJ7" s="347"/>
      <c r="AK7" s="347"/>
      <c r="AL7" s="348"/>
      <c r="AR7" s="343" t="s">
        <v>150</v>
      </c>
      <c r="AS7" s="344"/>
      <c r="AT7" s="344"/>
      <c r="AU7" s="345"/>
    </row>
    <row r="8" spans="1:71" s="104" customFormat="1" ht="30" x14ac:dyDescent="0.25">
      <c r="C8" s="104" t="s">
        <v>4</v>
      </c>
      <c r="D8" s="104" t="s">
        <v>5</v>
      </c>
      <c r="F8" s="3" t="s">
        <v>6</v>
      </c>
      <c r="H8" s="104" t="s">
        <v>7</v>
      </c>
      <c r="J8" s="4" t="s">
        <v>36</v>
      </c>
      <c r="L8" s="14" t="s">
        <v>85</v>
      </c>
      <c r="M8" s="15" t="s">
        <v>34</v>
      </c>
      <c r="N8" s="16" t="s">
        <v>13</v>
      </c>
      <c r="O8" s="14" t="s">
        <v>85</v>
      </c>
      <c r="P8" s="15" t="s">
        <v>34</v>
      </c>
      <c r="Q8" s="16" t="s">
        <v>13</v>
      </c>
      <c r="R8" s="14" t="s">
        <v>85</v>
      </c>
      <c r="S8" s="15" t="s">
        <v>34</v>
      </c>
      <c r="T8" s="16" t="s">
        <v>13</v>
      </c>
      <c r="U8" s="14" t="s">
        <v>85</v>
      </c>
      <c r="V8" s="15" t="s">
        <v>34</v>
      </c>
      <c r="W8" s="16" t="s">
        <v>13</v>
      </c>
      <c r="X8" s="14" t="s">
        <v>85</v>
      </c>
      <c r="Y8" s="15" t="s">
        <v>34</v>
      </c>
      <c r="Z8" s="16" t="s">
        <v>13</v>
      </c>
      <c r="AA8" s="26" t="s">
        <v>14</v>
      </c>
      <c r="AB8" s="128" t="s">
        <v>96</v>
      </c>
      <c r="AC8" s="15" t="s">
        <v>97</v>
      </c>
      <c r="AD8" s="15" t="s">
        <v>98</v>
      </c>
      <c r="AE8" s="15" t="s">
        <v>99</v>
      </c>
      <c r="AF8" s="129" t="s">
        <v>100</v>
      </c>
      <c r="AG8" s="186"/>
      <c r="AH8" s="128" t="s">
        <v>96</v>
      </c>
      <c r="AI8" s="15" t="s">
        <v>97</v>
      </c>
      <c r="AJ8" s="15" t="s">
        <v>98</v>
      </c>
      <c r="AK8" s="15" t="s">
        <v>99</v>
      </c>
      <c r="AL8" s="129" t="s">
        <v>100</v>
      </c>
      <c r="AM8" s="195"/>
      <c r="AN8" s="195"/>
      <c r="AO8" s="195"/>
      <c r="AP8" s="195"/>
      <c r="AQ8" s="195"/>
      <c r="AR8" s="167" t="s">
        <v>151</v>
      </c>
      <c r="AS8" s="168" t="s">
        <v>103</v>
      </c>
      <c r="AT8" s="168" t="s">
        <v>152</v>
      </c>
      <c r="AU8" s="169" t="s">
        <v>100</v>
      </c>
      <c r="BK8" s="67" t="s">
        <v>29</v>
      </c>
      <c r="BL8" s="67" t="s">
        <v>33</v>
      </c>
      <c r="BM8" s="67" t="s">
        <v>30</v>
      </c>
      <c r="BN8" s="67" t="s">
        <v>31</v>
      </c>
      <c r="BO8" s="67" t="s">
        <v>32</v>
      </c>
      <c r="BP8" s="67" t="s">
        <v>35</v>
      </c>
      <c r="BQ8" s="67" t="s">
        <v>93</v>
      </c>
      <c r="BR8" s="67"/>
      <c r="BS8" s="67" t="s">
        <v>32</v>
      </c>
    </row>
    <row r="9" spans="1:71" x14ac:dyDescent="0.25">
      <c r="B9">
        <v>1</v>
      </c>
      <c r="C9" s="109" t="s">
        <v>80</v>
      </c>
      <c r="D9" s="109"/>
      <c r="E9" s="12"/>
      <c r="F9" s="54"/>
      <c r="G9" s="12"/>
      <c r="H9" s="55"/>
      <c r="I9" s="12"/>
      <c r="J9" s="89">
        <v>9</v>
      </c>
      <c r="K9" s="13"/>
      <c r="L9" s="56"/>
      <c r="M9" s="57"/>
      <c r="N9" s="36">
        <f t="shared" ref="N9:N24" si="0">+$H9*L9+(($H9/$J9)*M9)</f>
        <v>0</v>
      </c>
      <c r="O9" s="56">
        <f>+IF($S$4&gt;1,L9," ")</f>
        <v>0</v>
      </c>
      <c r="P9" s="58">
        <f>+IF($S$4&gt;1,M9," ")</f>
        <v>0</v>
      </c>
      <c r="Q9" s="36">
        <f t="shared" ref="Q9:Q24" si="1">+IF($S$4&gt;1,(AR9*O9)+((AR9/J9)*P9)," ")</f>
        <v>0</v>
      </c>
      <c r="R9" s="56">
        <f>+IF($S$4&gt;2,O9," ")</f>
        <v>0</v>
      </c>
      <c r="S9" s="58">
        <f>+IF($S$4&gt;2,P9," ")</f>
        <v>0</v>
      </c>
      <c r="T9" s="36">
        <f t="shared" ref="T9:T24" si="2">+IF($S$4&gt;2,(AS9*R9)+((AS9/J9)*S9)," ")</f>
        <v>0</v>
      </c>
      <c r="U9" s="56" t="str">
        <f>+IF($S$4&gt;3,R9," ")</f>
        <v xml:space="preserve"> </v>
      </c>
      <c r="V9" s="58" t="str">
        <f>+IF($S$4&gt;3,S9," ")</f>
        <v xml:space="preserve"> </v>
      </c>
      <c r="W9" s="36" t="str">
        <f t="shared" ref="W9:W24" si="3">+IF($S$4&gt;3,(AT9*U9)+((AT9/J9)*V9)," ")</f>
        <v xml:space="preserve"> </v>
      </c>
      <c r="X9" s="56" t="str">
        <f>+IF($S$4&gt;4,U9," ")</f>
        <v xml:space="preserve"> </v>
      </c>
      <c r="Y9" s="58" t="str">
        <f>+IF($S$4&gt;4,V9," ")</f>
        <v xml:space="preserve"> </v>
      </c>
      <c r="Z9" s="36" t="str">
        <f t="shared" ref="Z9:Z24" si="4">+IF($S$4&gt;4,(AU9*X9)+((AU9/J9)*Y9)," ")</f>
        <v xml:space="preserve"> </v>
      </c>
      <c r="AA9" s="43">
        <f t="shared" ref="AA9:AA24" si="5">SUM(N9,Q9,T9,W9,Z9)</f>
        <v>0</v>
      </c>
      <c r="AB9" s="130">
        <f>+$J9*L9</f>
        <v>0</v>
      </c>
      <c r="AC9" s="131">
        <f>IF($S$4&gt;1,+$J9*O9," ")</f>
        <v>0</v>
      </c>
      <c r="AD9" s="131">
        <f>+IF($S$4&gt;2,$J9*R9," ")</f>
        <v>0</v>
      </c>
      <c r="AE9" s="131" t="str">
        <f>+IF($S$4&gt;3,$J9*U9," ")</f>
        <v xml:space="preserve"> </v>
      </c>
      <c r="AF9" s="132" t="str">
        <f>+IF($S$4&gt;4,$J9*X9," ")</f>
        <v xml:space="preserve"> </v>
      </c>
      <c r="AG9" s="185"/>
      <c r="AH9" s="136">
        <f>+(N9*0.15)+(L9*$L$39)</f>
        <v>0</v>
      </c>
      <c r="AI9" s="137">
        <f>+IF($S$4&gt;1,(($L$39*1.05)*O9)+(Q9*0.15)," ")</f>
        <v>0</v>
      </c>
      <c r="AJ9" s="137">
        <f>+IF($S$4&gt;2,(($L$39*1.1)*R9)+(T9*0.15)," ")</f>
        <v>0</v>
      </c>
      <c r="AK9" s="137" t="str">
        <f>+IF($S$4&gt;3,(($L$39*1.15)*U9)+(W9*0.15)," ")</f>
        <v xml:space="preserve"> </v>
      </c>
      <c r="AL9" s="138" t="str">
        <f>+IF($S$4&gt;4,(($L$39*1.2)*X9)+(Z9*0.15)," ")</f>
        <v xml:space="preserve"> </v>
      </c>
      <c r="AR9" s="170">
        <f t="shared" ref="AR9:AR24" si="6">+IF($S$4&gt;1,H9*(1+$W$4),0)</f>
        <v>0</v>
      </c>
      <c r="AS9" s="171">
        <f t="shared" ref="AS9:AS24" si="7">+IF($S$4&gt;2,ROUND(AR9*(1+$W$4),0),0)</f>
        <v>0</v>
      </c>
      <c r="AT9" s="171">
        <f t="shared" ref="AT9:AT24" si="8">+IF($S$4&gt;3,ROUND(AS9*(1+$W$4),0),0)</f>
        <v>0</v>
      </c>
      <c r="AU9" s="172">
        <f t="shared" ref="AU9:AU24" si="9">+IF($S$4&gt;4,ROUND(AT9*(1+$W$4),0),0)</f>
        <v>0</v>
      </c>
      <c r="BK9" s="68">
        <f>+Award!BK9</f>
        <v>9</v>
      </c>
      <c r="BL9" s="68">
        <f>+Award!BL9</f>
        <v>1</v>
      </c>
      <c r="BM9" s="68" t="e">
        <f>+Award!#REF!</f>
        <v>#REF!</v>
      </c>
      <c r="BN9" s="68" t="e">
        <f>+Award!#REF!</f>
        <v>#REF!</v>
      </c>
      <c r="BO9" s="68" t="e">
        <f>+Award!#REF!</f>
        <v>#REF!</v>
      </c>
      <c r="BP9" s="68">
        <f>+Award!BP9</f>
        <v>0.15</v>
      </c>
      <c r="BQ9" s="68">
        <f>+Award!BQ9</f>
        <v>0</v>
      </c>
      <c r="BR9" s="68" t="s">
        <v>80</v>
      </c>
      <c r="BS9" s="68" t="str">
        <f>+Award!BS9</f>
        <v>Y</v>
      </c>
    </row>
    <row r="10" spans="1:71" x14ac:dyDescent="0.25">
      <c r="B10">
        <v>2</v>
      </c>
      <c r="C10" s="109"/>
      <c r="D10" s="109"/>
      <c r="E10" s="12"/>
      <c r="F10" s="54"/>
      <c r="G10" s="12"/>
      <c r="H10" s="55"/>
      <c r="I10" s="12"/>
      <c r="J10" s="89">
        <v>9</v>
      </c>
      <c r="K10" s="13"/>
      <c r="L10" s="56"/>
      <c r="M10" s="57"/>
      <c r="N10" s="36">
        <f t="shared" si="0"/>
        <v>0</v>
      </c>
      <c r="O10" s="56">
        <f t="shared" ref="O10:P24" si="10">+IF($S$4&gt;1,L10," ")</f>
        <v>0</v>
      </c>
      <c r="P10" s="58">
        <f t="shared" si="10"/>
        <v>0</v>
      </c>
      <c r="Q10" s="36">
        <f t="shared" si="1"/>
        <v>0</v>
      </c>
      <c r="R10" s="56">
        <f t="shared" ref="R10:S24" si="11">+IF($S$4&gt;2,O10," ")</f>
        <v>0</v>
      </c>
      <c r="S10" s="58">
        <f t="shared" si="11"/>
        <v>0</v>
      </c>
      <c r="T10" s="36">
        <f t="shared" si="2"/>
        <v>0</v>
      </c>
      <c r="U10" s="56" t="str">
        <f>+IF($S$4&gt;3,R10," ")</f>
        <v xml:space="preserve"> </v>
      </c>
      <c r="V10" s="58" t="str">
        <f t="shared" ref="V10:V24" si="12">+IF($S$4&gt;3,S10," ")</f>
        <v xml:space="preserve"> </v>
      </c>
      <c r="W10" s="36" t="str">
        <f t="shared" si="3"/>
        <v xml:space="preserve"> </v>
      </c>
      <c r="X10" s="56" t="str">
        <f t="shared" ref="X10:Y24" si="13">+IF($S$4&gt;4,U10," ")</f>
        <v xml:space="preserve"> </v>
      </c>
      <c r="Y10" s="58" t="str">
        <f t="shared" si="13"/>
        <v xml:space="preserve"> </v>
      </c>
      <c r="Z10" s="36" t="str">
        <f t="shared" si="4"/>
        <v xml:space="preserve"> </v>
      </c>
      <c r="AA10" s="43">
        <f t="shared" si="5"/>
        <v>0</v>
      </c>
      <c r="AB10" s="130">
        <f t="shared" ref="AB10:AB24" si="14">+$J10*L10</f>
        <v>0</v>
      </c>
      <c r="AC10" s="131">
        <f t="shared" ref="AC10:AC24" si="15">IF($S$4&gt;1,+$J10*O10," ")</f>
        <v>0</v>
      </c>
      <c r="AD10" s="131">
        <f t="shared" ref="AD10:AD24" si="16">+IF($S$4&gt;2,$J10*R10," ")</f>
        <v>0</v>
      </c>
      <c r="AE10" s="131" t="str">
        <f t="shared" ref="AE10:AE24" si="17">+IF($S$4&gt;3,$J10*U10," ")</f>
        <v xml:space="preserve"> </v>
      </c>
      <c r="AF10" s="132" t="str">
        <f t="shared" ref="AF10:AF24" si="18">+IF($S$4&gt;4,$J10*X10," ")</f>
        <v xml:space="preserve"> </v>
      </c>
      <c r="AG10" s="185"/>
      <c r="AH10" s="136">
        <f t="shared" ref="AH10:AH24" si="19">+(N10*0.15)+(L10*$L$39)</f>
        <v>0</v>
      </c>
      <c r="AI10" s="137">
        <f t="shared" ref="AI10:AI24" si="20">+IF($S$4&gt;1,(($L$39*1.05)*O10)+(Q10*0.15)," ")</f>
        <v>0</v>
      </c>
      <c r="AJ10" s="137">
        <f t="shared" ref="AJ10:AJ24" si="21">+IF($S$4&gt;2,(($L$39*1.1)*R10)+(T10*0.15)," ")</f>
        <v>0</v>
      </c>
      <c r="AK10" s="137" t="str">
        <f t="shared" ref="AK10:AK24" si="22">+IF($S$4&gt;3,(($L$39*1.15)*U10)+(W10*0.15)," ")</f>
        <v xml:space="preserve"> </v>
      </c>
      <c r="AL10" s="138" t="str">
        <f t="shared" ref="AL10:AL24" si="23">+IF($S$4&gt;4,(($L$39*1.2)*X10)+(Z10*0.15)," ")</f>
        <v xml:space="preserve"> </v>
      </c>
      <c r="AR10" s="170">
        <f t="shared" si="6"/>
        <v>0</v>
      </c>
      <c r="AS10" s="171">
        <f t="shared" si="7"/>
        <v>0</v>
      </c>
      <c r="AT10" s="171">
        <f t="shared" si="8"/>
        <v>0</v>
      </c>
      <c r="AU10" s="172">
        <f t="shared" si="9"/>
        <v>0</v>
      </c>
      <c r="BK10" s="68">
        <f>+Award!BK10</f>
        <v>10</v>
      </c>
      <c r="BL10" s="68">
        <f>+Award!BL10</f>
        <v>2</v>
      </c>
      <c r="BM10" s="68" t="e">
        <f>+Award!#REF!</f>
        <v>#REF!</v>
      </c>
      <c r="BN10" s="68" t="e">
        <f>+Award!#REF!</f>
        <v>#REF!</v>
      </c>
      <c r="BO10" s="68" t="e">
        <f>+Award!#REF!</f>
        <v>#REF!</v>
      </c>
      <c r="BP10" s="68">
        <f>+Award!BP10</f>
        <v>0.01</v>
      </c>
      <c r="BQ10" s="68">
        <f>+Award!BQ10</f>
        <v>1</v>
      </c>
      <c r="BR10" s="68" t="s">
        <v>80</v>
      </c>
      <c r="BS10" s="68" t="str">
        <f>+Award!BS10</f>
        <v>N</v>
      </c>
    </row>
    <row r="11" spans="1:71" x14ac:dyDescent="0.25">
      <c r="B11">
        <v>3</v>
      </c>
      <c r="C11" s="109"/>
      <c r="D11" s="109"/>
      <c r="E11" s="12"/>
      <c r="F11" s="54"/>
      <c r="G11" s="12"/>
      <c r="H11" s="55"/>
      <c r="I11" s="12"/>
      <c r="J11" s="89">
        <v>9</v>
      </c>
      <c r="K11" s="13"/>
      <c r="L11" s="56"/>
      <c r="M11" s="57"/>
      <c r="N11" s="36">
        <f t="shared" si="0"/>
        <v>0</v>
      </c>
      <c r="O11" s="56">
        <f t="shared" si="10"/>
        <v>0</v>
      </c>
      <c r="P11" s="58">
        <f t="shared" si="10"/>
        <v>0</v>
      </c>
      <c r="Q11" s="36">
        <f t="shared" si="1"/>
        <v>0</v>
      </c>
      <c r="R11" s="56">
        <f t="shared" si="11"/>
        <v>0</v>
      </c>
      <c r="S11" s="58">
        <f t="shared" si="11"/>
        <v>0</v>
      </c>
      <c r="T11" s="36">
        <f t="shared" si="2"/>
        <v>0</v>
      </c>
      <c r="U11" s="56" t="str">
        <f t="shared" ref="U11:U24" si="24">+IF($S$4&gt;3,R11," ")</f>
        <v xml:space="preserve"> </v>
      </c>
      <c r="V11" s="58" t="str">
        <f t="shared" si="12"/>
        <v xml:space="preserve"> </v>
      </c>
      <c r="W11" s="36" t="str">
        <f t="shared" si="3"/>
        <v xml:space="preserve"> </v>
      </c>
      <c r="X11" s="56" t="str">
        <f t="shared" si="13"/>
        <v xml:space="preserve"> </v>
      </c>
      <c r="Y11" s="58" t="str">
        <f t="shared" si="13"/>
        <v xml:space="preserve"> </v>
      </c>
      <c r="Z11" s="36" t="str">
        <f t="shared" si="4"/>
        <v xml:space="preserve"> </v>
      </c>
      <c r="AA11" s="43">
        <f t="shared" si="5"/>
        <v>0</v>
      </c>
      <c r="AB11" s="130">
        <f t="shared" si="14"/>
        <v>0</v>
      </c>
      <c r="AC11" s="131">
        <f t="shared" si="15"/>
        <v>0</v>
      </c>
      <c r="AD11" s="131">
        <f t="shared" si="16"/>
        <v>0</v>
      </c>
      <c r="AE11" s="131" t="str">
        <f t="shared" si="17"/>
        <v xml:space="preserve"> </v>
      </c>
      <c r="AF11" s="132" t="str">
        <f t="shared" si="18"/>
        <v xml:space="preserve"> </v>
      </c>
      <c r="AG11" s="185"/>
      <c r="AH11" s="136">
        <f t="shared" si="19"/>
        <v>0</v>
      </c>
      <c r="AI11" s="137">
        <f t="shared" si="20"/>
        <v>0</v>
      </c>
      <c r="AJ11" s="137">
        <f t="shared" si="21"/>
        <v>0</v>
      </c>
      <c r="AK11" s="137" t="str">
        <f t="shared" si="22"/>
        <v xml:space="preserve"> </v>
      </c>
      <c r="AL11" s="138" t="str">
        <f t="shared" si="23"/>
        <v xml:space="preserve"> </v>
      </c>
      <c r="AR11" s="170">
        <f t="shared" si="6"/>
        <v>0</v>
      </c>
      <c r="AS11" s="171">
        <f t="shared" si="7"/>
        <v>0</v>
      </c>
      <c r="AT11" s="171">
        <f t="shared" si="8"/>
        <v>0</v>
      </c>
      <c r="AU11" s="172">
        <f t="shared" si="9"/>
        <v>0</v>
      </c>
      <c r="BK11" s="68">
        <f>+Award!BK11</f>
        <v>12</v>
      </c>
      <c r="BL11" s="68">
        <f>+Award!BL11</f>
        <v>3</v>
      </c>
      <c r="BM11" s="68" t="str">
        <f>+Award!BM9</f>
        <v>FY 15</v>
      </c>
      <c r="BN11" s="68">
        <f>+Award!BN9</f>
        <v>8619</v>
      </c>
      <c r="BO11" s="68">
        <f>+Award!BO9</f>
        <v>3000</v>
      </c>
      <c r="BP11" s="68"/>
      <c r="BQ11" s="68">
        <f>+Award!BQ11</f>
        <v>2</v>
      </c>
      <c r="BR11" s="68"/>
      <c r="BS11" s="68"/>
    </row>
    <row r="12" spans="1:71" x14ac:dyDescent="0.25">
      <c r="B12">
        <v>4</v>
      </c>
      <c r="C12" s="109"/>
      <c r="D12" s="109"/>
      <c r="E12" s="12"/>
      <c r="F12" s="54"/>
      <c r="G12" s="12"/>
      <c r="H12" s="55"/>
      <c r="I12" s="12"/>
      <c r="J12" s="89">
        <v>9</v>
      </c>
      <c r="K12" s="13"/>
      <c r="L12" s="56"/>
      <c r="M12" s="57"/>
      <c r="N12" s="36">
        <f t="shared" si="0"/>
        <v>0</v>
      </c>
      <c r="O12" s="56">
        <f t="shared" si="10"/>
        <v>0</v>
      </c>
      <c r="P12" s="58">
        <f t="shared" si="10"/>
        <v>0</v>
      </c>
      <c r="Q12" s="36">
        <f t="shared" si="1"/>
        <v>0</v>
      </c>
      <c r="R12" s="56">
        <f t="shared" si="11"/>
        <v>0</v>
      </c>
      <c r="S12" s="58">
        <f t="shared" si="11"/>
        <v>0</v>
      </c>
      <c r="T12" s="36">
        <f t="shared" si="2"/>
        <v>0</v>
      </c>
      <c r="U12" s="56" t="str">
        <f t="shared" si="24"/>
        <v xml:space="preserve"> </v>
      </c>
      <c r="V12" s="58" t="str">
        <f t="shared" si="12"/>
        <v xml:space="preserve"> </v>
      </c>
      <c r="W12" s="36" t="str">
        <f t="shared" si="3"/>
        <v xml:space="preserve"> </v>
      </c>
      <c r="X12" s="56" t="str">
        <f t="shared" si="13"/>
        <v xml:space="preserve"> </v>
      </c>
      <c r="Y12" s="58" t="str">
        <f t="shared" si="13"/>
        <v xml:space="preserve"> </v>
      </c>
      <c r="Z12" s="36" t="str">
        <f t="shared" si="4"/>
        <v xml:space="preserve"> </v>
      </c>
      <c r="AA12" s="43">
        <f t="shared" si="5"/>
        <v>0</v>
      </c>
      <c r="AB12" s="130">
        <f t="shared" si="14"/>
        <v>0</v>
      </c>
      <c r="AC12" s="131">
        <f t="shared" si="15"/>
        <v>0</v>
      </c>
      <c r="AD12" s="131">
        <f t="shared" si="16"/>
        <v>0</v>
      </c>
      <c r="AE12" s="131" t="str">
        <f t="shared" si="17"/>
        <v xml:space="preserve"> </v>
      </c>
      <c r="AF12" s="132" t="str">
        <f t="shared" si="18"/>
        <v xml:space="preserve"> </v>
      </c>
      <c r="AG12" s="185"/>
      <c r="AH12" s="136">
        <f t="shared" si="19"/>
        <v>0</v>
      </c>
      <c r="AI12" s="137">
        <f t="shared" si="20"/>
        <v>0</v>
      </c>
      <c r="AJ12" s="137">
        <f t="shared" si="21"/>
        <v>0</v>
      </c>
      <c r="AK12" s="137" t="str">
        <f t="shared" si="22"/>
        <v xml:space="preserve"> </v>
      </c>
      <c r="AL12" s="138" t="str">
        <f t="shared" si="23"/>
        <v xml:space="preserve"> </v>
      </c>
      <c r="AR12" s="170">
        <f t="shared" si="6"/>
        <v>0</v>
      </c>
      <c r="AS12" s="171">
        <f t="shared" si="7"/>
        <v>0</v>
      </c>
      <c r="AT12" s="171">
        <f t="shared" si="8"/>
        <v>0</v>
      </c>
      <c r="AU12" s="172">
        <f t="shared" si="9"/>
        <v>0</v>
      </c>
      <c r="BK12" s="68"/>
      <c r="BL12" s="68">
        <f>+Award!BL12</f>
        <v>4</v>
      </c>
      <c r="BM12" s="68" t="str">
        <f>+Award!BM10</f>
        <v>FY 16</v>
      </c>
      <c r="BN12" s="68">
        <f>+Award!BN10</f>
        <v>8622</v>
      </c>
      <c r="BO12" s="68">
        <f>+Award!BO10</f>
        <v>3200</v>
      </c>
      <c r="BP12" s="68"/>
      <c r="BQ12" s="68">
        <f>+Award!BQ12</f>
        <v>3</v>
      </c>
      <c r="BR12" s="68"/>
      <c r="BS12" s="68"/>
    </row>
    <row r="13" spans="1:71" ht="15" hidden="1" customHeight="1" x14ac:dyDescent="0.25">
      <c r="B13">
        <v>5</v>
      </c>
      <c r="C13" s="109"/>
      <c r="D13" s="109"/>
      <c r="E13" s="12"/>
      <c r="F13" s="54"/>
      <c r="G13" s="12"/>
      <c r="H13" s="55"/>
      <c r="I13" s="12"/>
      <c r="J13" s="89">
        <v>9</v>
      </c>
      <c r="K13" s="13"/>
      <c r="L13" s="56"/>
      <c r="M13" s="57"/>
      <c r="N13" s="36">
        <f t="shared" si="0"/>
        <v>0</v>
      </c>
      <c r="O13" s="56">
        <f t="shared" si="10"/>
        <v>0</v>
      </c>
      <c r="P13" s="58">
        <f t="shared" si="10"/>
        <v>0</v>
      </c>
      <c r="Q13" s="36">
        <f t="shared" si="1"/>
        <v>0</v>
      </c>
      <c r="R13" s="56">
        <f t="shared" si="11"/>
        <v>0</v>
      </c>
      <c r="S13" s="58">
        <f t="shared" si="11"/>
        <v>0</v>
      </c>
      <c r="T13" s="36">
        <f t="shared" si="2"/>
        <v>0</v>
      </c>
      <c r="U13" s="56" t="str">
        <f t="shared" si="24"/>
        <v xml:space="preserve"> </v>
      </c>
      <c r="V13" s="58" t="str">
        <f t="shared" si="12"/>
        <v xml:space="preserve"> </v>
      </c>
      <c r="W13" s="36" t="str">
        <f t="shared" si="3"/>
        <v xml:space="preserve"> </v>
      </c>
      <c r="X13" s="56" t="str">
        <f t="shared" si="13"/>
        <v xml:space="preserve"> </v>
      </c>
      <c r="Y13" s="58" t="str">
        <f t="shared" si="13"/>
        <v xml:space="preserve"> </v>
      </c>
      <c r="Z13" s="36" t="str">
        <f t="shared" si="4"/>
        <v xml:space="preserve"> </v>
      </c>
      <c r="AA13" s="43">
        <f t="shared" si="5"/>
        <v>0</v>
      </c>
      <c r="AB13" s="130">
        <f t="shared" si="14"/>
        <v>0</v>
      </c>
      <c r="AC13" s="131">
        <f t="shared" si="15"/>
        <v>0</v>
      </c>
      <c r="AD13" s="131">
        <f t="shared" si="16"/>
        <v>0</v>
      </c>
      <c r="AE13" s="131" t="str">
        <f t="shared" si="17"/>
        <v xml:space="preserve"> </v>
      </c>
      <c r="AF13" s="132" t="str">
        <f t="shared" si="18"/>
        <v xml:space="preserve"> </v>
      </c>
      <c r="AG13" s="185"/>
      <c r="AH13" s="136">
        <f t="shared" si="19"/>
        <v>0</v>
      </c>
      <c r="AI13" s="137">
        <f t="shared" si="20"/>
        <v>0</v>
      </c>
      <c r="AJ13" s="137">
        <f t="shared" si="21"/>
        <v>0</v>
      </c>
      <c r="AK13" s="137" t="str">
        <f t="shared" si="22"/>
        <v xml:space="preserve"> </v>
      </c>
      <c r="AL13" s="138" t="str">
        <f t="shared" si="23"/>
        <v xml:space="preserve"> </v>
      </c>
      <c r="AR13" s="170">
        <f t="shared" si="6"/>
        <v>0</v>
      </c>
      <c r="AS13" s="171">
        <f t="shared" si="7"/>
        <v>0</v>
      </c>
      <c r="AT13" s="171">
        <f t="shared" si="8"/>
        <v>0</v>
      </c>
      <c r="AU13" s="172">
        <f t="shared" si="9"/>
        <v>0</v>
      </c>
      <c r="BK13" s="68"/>
      <c r="BL13" s="68">
        <v>5</v>
      </c>
      <c r="BM13" s="68" t="str">
        <f>+Award!BM11</f>
        <v>FY 17</v>
      </c>
      <c r="BN13" s="68">
        <f>+Award!BN11</f>
        <v>8387</v>
      </c>
      <c r="BO13" s="68">
        <f>+Award!BO11</f>
        <v>3400</v>
      </c>
      <c r="BP13" s="68"/>
      <c r="BQ13" s="68">
        <v>5</v>
      </c>
      <c r="BR13" s="68"/>
      <c r="BS13" s="68"/>
    </row>
    <row r="14" spans="1:71" ht="15" hidden="1" customHeight="1" x14ac:dyDescent="0.25">
      <c r="B14">
        <v>6</v>
      </c>
      <c r="C14" s="109"/>
      <c r="D14" s="109"/>
      <c r="E14" s="12"/>
      <c r="F14" s="54"/>
      <c r="G14" s="12"/>
      <c r="H14" s="55"/>
      <c r="I14" s="12"/>
      <c r="J14" s="89">
        <v>9</v>
      </c>
      <c r="K14" s="13"/>
      <c r="L14" s="56"/>
      <c r="M14" s="57"/>
      <c r="N14" s="36">
        <f t="shared" si="0"/>
        <v>0</v>
      </c>
      <c r="O14" s="56">
        <f t="shared" si="10"/>
        <v>0</v>
      </c>
      <c r="P14" s="58">
        <f t="shared" si="10"/>
        <v>0</v>
      </c>
      <c r="Q14" s="36">
        <f t="shared" si="1"/>
        <v>0</v>
      </c>
      <c r="R14" s="56">
        <f t="shared" si="11"/>
        <v>0</v>
      </c>
      <c r="S14" s="58">
        <f t="shared" si="11"/>
        <v>0</v>
      </c>
      <c r="T14" s="36">
        <f t="shared" si="2"/>
        <v>0</v>
      </c>
      <c r="U14" s="56" t="str">
        <f t="shared" si="24"/>
        <v xml:space="preserve"> </v>
      </c>
      <c r="V14" s="58" t="str">
        <f t="shared" si="12"/>
        <v xml:space="preserve"> </v>
      </c>
      <c r="W14" s="36" t="str">
        <f t="shared" si="3"/>
        <v xml:space="preserve"> </v>
      </c>
      <c r="X14" s="56" t="str">
        <f t="shared" si="13"/>
        <v xml:space="preserve"> </v>
      </c>
      <c r="Y14" s="58" t="str">
        <f t="shared" si="13"/>
        <v xml:space="preserve"> </v>
      </c>
      <c r="Z14" s="36" t="str">
        <f t="shared" si="4"/>
        <v xml:space="preserve"> </v>
      </c>
      <c r="AA14" s="43">
        <f t="shared" si="5"/>
        <v>0</v>
      </c>
      <c r="AB14" s="130">
        <f t="shared" si="14"/>
        <v>0</v>
      </c>
      <c r="AC14" s="131">
        <f t="shared" si="15"/>
        <v>0</v>
      </c>
      <c r="AD14" s="131">
        <f t="shared" si="16"/>
        <v>0</v>
      </c>
      <c r="AE14" s="131" t="str">
        <f t="shared" si="17"/>
        <v xml:space="preserve"> </v>
      </c>
      <c r="AF14" s="132" t="str">
        <f t="shared" si="18"/>
        <v xml:space="preserve"> </v>
      </c>
      <c r="AG14" s="185"/>
      <c r="AH14" s="136">
        <f t="shared" si="19"/>
        <v>0</v>
      </c>
      <c r="AI14" s="137">
        <f t="shared" si="20"/>
        <v>0</v>
      </c>
      <c r="AJ14" s="137">
        <f t="shared" si="21"/>
        <v>0</v>
      </c>
      <c r="AK14" s="137" t="str">
        <f t="shared" si="22"/>
        <v xml:space="preserve"> </v>
      </c>
      <c r="AL14" s="138" t="str">
        <f t="shared" si="23"/>
        <v xml:space="preserve"> </v>
      </c>
      <c r="AR14" s="170">
        <f t="shared" si="6"/>
        <v>0</v>
      </c>
      <c r="AS14" s="171">
        <f t="shared" si="7"/>
        <v>0</v>
      </c>
      <c r="AT14" s="171">
        <f t="shared" si="8"/>
        <v>0</v>
      </c>
      <c r="AU14" s="172">
        <f t="shared" si="9"/>
        <v>0</v>
      </c>
      <c r="BK14" s="68"/>
      <c r="BL14" s="68"/>
      <c r="BM14" s="68" t="str">
        <f>+Award!BM12</f>
        <v>FY 18</v>
      </c>
      <c r="BN14" s="68">
        <f>+Award!BN12</f>
        <v>8470</v>
      </c>
      <c r="BO14" s="68">
        <f>+Award!BO12</f>
        <v>3600</v>
      </c>
      <c r="BP14" s="68"/>
      <c r="BQ14" s="68">
        <v>6</v>
      </c>
      <c r="BR14" s="68"/>
      <c r="BS14" s="68"/>
    </row>
    <row r="15" spans="1:71" ht="15" hidden="1" customHeight="1" x14ac:dyDescent="0.25">
      <c r="B15">
        <v>7</v>
      </c>
      <c r="C15" s="109"/>
      <c r="D15" s="109"/>
      <c r="E15" s="12"/>
      <c r="F15" s="54"/>
      <c r="G15" s="12"/>
      <c r="H15" s="55"/>
      <c r="I15" s="12"/>
      <c r="J15" s="89">
        <v>9</v>
      </c>
      <c r="K15" s="13"/>
      <c r="L15" s="56"/>
      <c r="M15" s="57"/>
      <c r="N15" s="36">
        <f t="shared" si="0"/>
        <v>0</v>
      </c>
      <c r="O15" s="56">
        <f t="shared" si="10"/>
        <v>0</v>
      </c>
      <c r="P15" s="58">
        <f t="shared" si="10"/>
        <v>0</v>
      </c>
      <c r="Q15" s="36">
        <f t="shared" si="1"/>
        <v>0</v>
      </c>
      <c r="R15" s="56">
        <f t="shared" si="11"/>
        <v>0</v>
      </c>
      <c r="S15" s="58">
        <f t="shared" si="11"/>
        <v>0</v>
      </c>
      <c r="T15" s="36">
        <f t="shared" si="2"/>
        <v>0</v>
      </c>
      <c r="U15" s="56" t="str">
        <f t="shared" si="24"/>
        <v xml:space="preserve"> </v>
      </c>
      <c r="V15" s="58" t="str">
        <f t="shared" si="12"/>
        <v xml:space="preserve"> </v>
      </c>
      <c r="W15" s="36" t="str">
        <f t="shared" si="3"/>
        <v xml:space="preserve"> </v>
      </c>
      <c r="X15" s="56" t="str">
        <f t="shared" si="13"/>
        <v xml:space="preserve"> </v>
      </c>
      <c r="Y15" s="58" t="str">
        <f t="shared" si="13"/>
        <v xml:space="preserve"> </v>
      </c>
      <c r="Z15" s="36" t="str">
        <f t="shared" si="4"/>
        <v xml:space="preserve"> </v>
      </c>
      <c r="AA15" s="43">
        <f t="shared" si="5"/>
        <v>0</v>
      </c>
      <c r="AB15" s="130">
        <f t="shared" si="14"/>
        <v>0</v>
      </c>
      <c r="AC15" s="131">
        <f t="shared" si="15"/>
        <v>0</v>
      </c>
      <c r="AD15" s="131">
        <f t="shared" si="16"/>
        <v>0</v>
      </c>
      <c r="AE15" s="131" t="str">
        <f t="shared" si="17"/>
        <v xml:space="preserve"> </v>
      </c>
      <c r="AF15" s="132" t="str">
        <f t="shared" si="18"/>
        <v xml:space="preserve"> </v>
      </c>
      <c r="AG15" s="185"/>
      <c r="AH15" s="136">
        <f t="shared" si="19"/>
        <v>0</v>
      </c>
      <c r="AI15" s="137">
        <f t="shared" si="20"/>
        <v>0</v>
      </c>
      <c r="AJ15" s="137">
        <f t="shared" si="21"/>
        <v>0</v>
      </c>
      <c r="AK15" s="137" t="str">
        <f t="shared" si="22"/>
        <v xml:space="preserve"> </v>
      </c>
      <c r="AL15" s="138" t="str">
        <f t="shared" si="23"/>
        <v xml:space="preserve"> </v>
      </c>
      <c r="AR15" s="170">
        <f t="shared" si="6"/>
        <v>0</v>
      </c>
      <c r="AS15" s="171">
        <f t="shared" si="7"/>
        <v>0</v>
      </c>
      <c r="AT15" s="171">
        <f t="shared" si="8"/>
        <v>0</v>
      </c>
      <c r="AU15" s="172">
        <f t="shared" si="9"/>
        <v>0</v>
      </c>
      <c r="BK15" s="68"/>
      <c r="BL15" s="68"/>
      <c r="BM15" s="68" t="str">
        <f>+Award!BM13</f>
        <v>FY 19</v>
      </c>
      <c r="BN15" s="68">
        <f>+Award!BN13</f>
        <v>8894</v>
      </c>
      <c r="BO15" s="68">
        <f>+Award!BO13</f>
        <v>3800</v>
      </c>
      <c r="BP15" s="68"/>
      <c r="BQ15" s="68">
        <v>7</v>
      </c>
      <c r="BR15" s="68"/>
      <c r="BS15" s="68"/>
    </row>
    <row r="16" spans="1:71" ht="15" hidden="1" customHeight="1" x14ac:dyDescent="0.25">
      <c r="B16">
        <v>8</v>
      </c>
      <c r="C16" s="109"/>
      <c r="D16" s="109"/>
      <c r="E16" s="12"/>
      <c r="F16" s="54"/>
      <c r="G16" s="12"/>
      <c r="H16" s="55"/>
      <c r="I16" s="12"/>
      <c r="J16" s="89">
        <v>9</v>
      </c>
      <c r="K16" s="13"/>
      <c r="L16" s="56"/>
      <c r="M16" s="57"/>
      <c r="N16" s="36">
        <f t="shared" si="0"/>
        <v>0</v>
      </c>
      <c r="O16" s="56">
        <f t="shared" si="10"/>
        <v>0</v>
      </c>
      <c r="P16" s="58">
        <f t="shared" si="10"/>
        <v>0</v>
      </c>
      <c r="Q16" s="36">
        <f t="shared" si="1"/>
        <v>0</v>
      </c>
      <c r="R16" s="56">
        <f t="shared" si="11"/>
        <v>0</v>
      </c>
      <c r="S16" s="58">
        <f t="shared" si="11"/>
        <v>0</v>
      </c>
      <c r="T16" s="36">
        <f t="shared" si="2"/>
        <v>0</v>
      </c>
      <c r="U16" s="56" t="str">
        <f t="shared" si="24"/>
        <v xml:space="preserve"> </v>
      </c>
      <c r="V16" s="58" t="str">
        <f t="shared" si="12"/>
        <v xml:space="preserve"> </v>
      </c>
      <c r="W16" s="36" t="str">
        <f t="shared" si="3"/>
        <v xml:space="preserve"> </v>
      </c>
      <c r="X16" s="56" t="str">
        <f t="shared" si="13"/>
        <v xml:space="preserve"> </v>
      </c>
      <c r="Y16" s="58" t="str">
        <f t="shared" si="13"/>
        <v xml:space="preserve"> </v>
      </c>
      <c r="Z16" s="36" t="str">
        <f t="shared" si="4"/>
        <v xml:space="preserve"> </v>
      </c>
      <c r="AA16" s="43">
        <f t="shared" si="5"/>
        <v>0</v>
      </c>
      <c r="AB16" s="130">
        <f t="shared" si="14"/>
        <v>0</v>
      </c>
      <c r="AC16" s="131">
        <f t="shared" si="15"/>
        <v>0</v>
      </c>
      <c r="AD16" s="131">
        <f t="shared" si="16"/>
        <v>0</v>
      </c>
      <c r="AE16" s="131" t="str">
        <f t="shared" si="17"/>
        <v xml:space="preserve"> </v>
      </c>
      <c r="AF16" s="132" t="str">
        <f t="shared" si="18"/>
        <v xml:space="preserve"> </v>
      </c>
      <c r="AG16" s="185"/>
      <c r="AH16" s="136">
        <f t="shared" si="19"/>
        <v>0</v>
      </c>
      <c r="AI16" s="137">
        <f t="shared" si="20"/>
        <v>0</v>
      </c>
      <c r="AJ16" s="137">
        <f t="shared" si="21"/>
        <v>0</v>
      </c>
      <c r="AK16" s="137" t="str">
        <f t="shared" si="22"/>
        <v xml:space="preserve"> </v>
      </c>
      <c r="AL16" s="138" t="str">
        <f t="shared" si="23"/>
        <v xml:space="preserve"> </v>
      </c>
      <c r="AR16" s="170">
        <f t="shared" si="6"/>
        <v>0</v>
      </c>
      <c r="AS16" s="171">
        <f t="shared" si="7"/>
        <v>0</v>
      </c>
      <c r="AT16" s="171">
        <f t="shared" si="8"/>
        <v>0</v>
      </c>
      <c r="AU16" s="172">
        <f t="shared" si="9"/>
        <v>0</v>
      </c>
      <c r="BK16" s="68"/>
      <c r="BL16" s="68"/>
      <c r="BM16" s="68" t="str">
        <f>+Award!BM14</f>
        <v>FY 20</v>
      </c>
      <c r="BN16" s="68">
        <f>+Award!BN14</f>
        <v>9339</v>
      </c>
      <c r="BO16" s="68">
        <f>+Award!BO14</f>
        <v>4000</v>
      </c>
      <c r="BP16" s="68"/>
      <c r="BQ16" s="68">
        <v>8</v>
      </c>
      <c r="BR16" s="68"/>
      <c r="BS16" s="68"/>
    </row>
    <row r="17" spans="1:71" ht="15" hidden="1" customHeight="1" x14ac:dyDescent="0.25">
      <c r="B17">
        <v>9</v>
      </c>
      <c r="C17" s="109"/>
      <c r="D17" s="109"/>
      <c r="E17" s="12"/>
      <c r="F17" s="54"/>
      <c r="G17" s="12"/>
      <c r="H17" s="55"/>
      <c r="I17" s="12"/>
      <c r="J17" s="89">
        <v>9</v>
      </c>
      <c r="K17" s="13"/>
      <c r="L17" s="56"/>
      <c r="M17" s="57"/>
      <c r="N17" s="36">
        <f t="shared" si="0"/>
        <v>0</v>
      </c>
      <c r="O17" s="56">
        <f t="shared" si="10"/>
        <v>0</v>
      </c>
      <c r="P17" s="58">
        <f t="shared" si="10"/>
        <v>0</v>
      </c>
      <c r="Q17" s="36">
        <f t="shared" si="1"/>
        <v>0</v>
      </c>
      <c r="R17" s="56">
        <f t="shared" si="11"/>
        <v>0</v>
      </c>
      <c r="S17" s="58">
        <f t="shared" si="11"/>
        <v>0</v>
      </c>
      <c r="T17" s="36">
        <f t="shared" si="2"/>
        <v>0</v>
      </c>
      <c r="U17" s="56" t="str">
        <f t="shared" si="24"/>
        <v xml:space="preserve"> </v>
      </c>
      <c r="V17" s="58" t="str">
        <f t="shared" si="12"/>
        <v xml:space="preserve"> </v>
      </c>
      <c r="W17" s="36" t="str">
        <f t="shared" si="3"/>
        <v xml:space="preserve"> </v>
      </c>
      <c r="X17" s="56" t="str">
        <f t="shared" si="13"/>
        <v xml:space="preserve"> </v>
      </c>
      <c r="Y17" s="58" t="str">
        <f t="shared" si="13"/>
        <v xml:space="preserve"> </v>
      </c>
      <c r="Z17" s="36" t="str">
        <f t="shared" si="4"/>
        <v xml:space="preserve"> </v>
      </c>
      <c r="AA17" s="43">
        <f t="shared" si="5"/>
        <v>0</v>
      </c>
      <c r="AB17" s="130">
        <f t="shared" si="14"/>
        <v>0</v>
      </c>
      <c r="AC17" s="131">
        <f t="shared" si="15"/>
        <v>0</v>
      </c>
      <c r="AD17" s="131">
        <f t="shared" si="16"/>
        <v>0</v>
      </c>
      <c r="AE17" s="131" t="str">
        <f t="shared" si="17"/>
        <v xml:space="preserve"> </v>
      </c>
      <c r="AF17" s="132" t="str">
        <f t="shared" si="18"/>
        <v xml:space="preserve"> </v>
      </c>
      <c r="AG17" s="185"/>
      <c r="AH17" s="136">
        <f t="shared" si="19"/>
        <v>0</v>
      </c>
      <c r="AI17" s="137">
        <f t="shared" si="20"/>
        <v>0</v>
      </c>
      <c r="AJ17" s="137">
        <f t="shared" si="21"/>
        <v>0</v>
      </c>
      <c r="AK17" s="137" t="str">
        <f t="shared" si="22"/>
        <v xml:space="preserve"> </v>
      </c>
      <c r="AL17" s="138" t="str">
        <f t="shared" si="23"/>
        <v xml:space="preserve"> </v>
      </c>
      <c r="AR17" s="170">
        <f t="shared" si="6"/>
        <v>0</v>
      </c>
      <c r="AS17" s="171">
        <f t="shared" si="7"/>
        <v>0</v>
      </c>
      <c r="AT17" s="171">
        <f t="shared" si="8"/>
        <v>0</v>
      </c>
      <c r="AU17" s="172">
        <f t="shared" si="9"/>
        <v>0</v>
      </c>
      <c r="BK17" s="68"/>
      <c r="BL17" s="68"/>
      <c r="BM17" s="68" t="str">
        <f>+Award!BM15</f>
        <v>FY 21</v>
      </c>
      <c r="BN17" s="68">
        <f>+Award!BN15</f>
        <v>9806</v>
      </c>
      <c r="BO17" s="68">
        <f>+Award!BO15</f>
        <v>4200</v>
      </c>
      <c r="BP17" s="68"/>
      <c r="BQ17" s="68">
        <v>9</v>
      </c>
      <c r="BR17" s="68"/>
      <c r="BS17" s="68"/>
    </row>
    <row r="18" spans="1:71" ht="15" hidden="1" customHeight="1" x14ac:dyDescent="0.25">
      <c r="B18">
        <v>10</v>
      </c>
      <c r="C18" s="109"/>
      <c r="D18" s="109"/>
      <c r="E18" s="12"/>
      <c r="F18" s="54"/>
      <c r="G18" s="12"/>
      <c r="H18" s="55"/>
      <c r="I18" s="12"/>
      <c r="J18" s="89">
        <v>9</v>
      </c>
      <c r="K18" s="13"/>
      <c r="L18" s="56"/>
      <c r="M18" s="57"/>
      <c r="N18" s="36">
        <f t="shared" si="0"/>
        <v>0</v>
      </c>
      <c r="O18" s="56">
        <f t="shared" si="10"/>
        <v>0</v>
      </c>
      <c r="P18" s="58">
        <f t="shared" si="10"/>
        <v>0</v>
      </c>
      <c r="Q18" s="36">
        <f t="shared" si="1"/>
        <v>0</v>
      </c>
      <c r="R18" s="56">
        <f t="shared" si="11"/>
        <v>0</v>
      </c>
      <c r="S18" s="58">
        <f t="shared" si="11"/>
        <v>0</v>
      </c>
      <c r="T18" s="36">
        <f t="shared" si="2"/>
        <v>0</v>
      </c>
      <c r="U18" s="56" t="str">
        <f t="shared" si="24"/>
        <v xml:space="preserve"> </v>
      </c>
      <c r="V18" s="58" t="str">
        <f t="shared" si="12"/>
        <v xml:space="preserve"> </v>
      </c>
      <c r="W18" s="36" t="str">
        <f t="shared" si="3"/>
        <v xml:space="preserve"> </v>
      </c>
      <c r="X18" s="56" t="str">
        <f t="shared" si="13"/>
        <v xml:space="preserve"> </v>
      </c>
      <c r="Y18" s="58" t="str">
        <f t="shared" si="13"/>
        <v xml:space="preserve"> </v>
      </c>
      <c r="Z18" s="36" t="str">
        <f t="shared" si="4"/>
        <v xml:space="preserve"> </v>
      </c>
      <c r="AA18" s="43">
        <f t="shared" si="5"/>
        <v>0</v>
      </c>
      <c r="AB18" s="130">
        <f t="shared" si="14"/>
        <v>0</v>
      </c>
      <c r="AC18" s="131">
        <f t="shared" si="15"/>
        <v>0</v>
      </c>
      <c r="AD18" s="131">
        <f t="shared" si="16"/>
        <v>0</v>
      </c>
      <c r="AE18" s="131" t="str">
        <f t="shared" si="17"/>
        <v xml:space="preserve"> </v>
      </c>
      <c r="AF18" s="132" t="str">
        <f t="shared" si="18"/>
        <v xml:space="preserve"> </v>
      </c>
      <c r="AG18" s="185"/>
      <c r="AH18" s="136">
        <f t="shared" si="19"/>
        <v>0</v>
      </c>
      <c r="AI18" s="137">
        <f t="shared" si="20"/>
        <v>0</v>
      </c>
      <c r="AJ18" s="137">
        <f t="shared" si="21"/>
        <v>0</v>
      </c>
      <c r="AK18" s="137" t="str">
        <f t="shared" si="22"/>
        <v xml:space="preserve"> </v>
      </c>
      <c r="AL18" s="138" t="str">
        <f t="shared" si="23"/>
        <v xml:space="preserve"> </v>
      </c>
      <c r="AR18" s="170">
        <f t="shared" si="6"/>
        <v>0</v>
      </c>
      <c r="AS18" s="171">
        <f t="shared" si="7"/>
        <v>0</v>
      </c>
      <c r="AT18" s="171">
        <f t="shared" si="8"/>
        <v>0</v>
      </c>
      <c r="AU18" s="172">
        <f t="shared" si="9"/>
        <v>0</v>
      </c>
      <c r="BK18" s="68"/>
      <c r="BL18" s="68"/>
      <c r="BM18" s="68" t="str">
        <f>+Award!BM16</f>
        <v>FY 22</v>
      </c>
      <c r="BN18" s="68">
        <f>+Award!BN16</f>
        <v>10296</v>
      </c>
      <c r="BO18" s="68">
        <f>+Award!BO16</f>
        <v>4400</v>
      </c>
      <c r="BP18" s="68"/>
      <c r="BQ18" s="68">
        <v>10</v>
      </c>
      <c r="BR18" s="68"/>
      <c r="BS18" s="68"/>
    </row>
    <row r="19" spans="1:71" ht="15" hidden="1" customHeight="1" x14ac:dyDescent="0.25">
      <c r="B19">
        <v>11</v>
      </c>
      <c r="C19" s="109"/>
      <c r="D19" s="109"/>
      <c r="E19" s="12"/>
      <c r="F19" s="54"/>
      <c r="G19" s="12"/>
      <c r="H19" s="55"/>
      <c r="I19" s="12"/>
      <c r="J19" s="89">
        <v>9</v>
      </c>
      <c r="K19" s="13"/>
      <c r="L19" s="56"/>
      <c r="M19" s="57"/>
      <c r="N19" s="36">
        <f t="shared" si="0"/>
        <v>0</v>
      </c>
      <c r="O19" s="56">
        <f t="shared" si="10"/>
        <v>0</v>
      </c>
      <c r="P19" s="58">
        <f t="shared" si="10"/>
        <v>0</v>
      </c>
      <c r="Q19" s="36">
        <f t="shared" si="1"/>
        <v>0</v>
      </c>
      <c r="R19" s="56">
        <f t="shared" si="11"/>
        <v>0</v>
      </c>
      <c r="S19" s="58">
        <f t="shared" si="11"/>
        <v>0</v>
      </c>
      <c r="T19" s="36">
        <f t="shared" si="2"/>
        <v>0</v>
      </c>
      <c r="U19" s="56" t="str">
        <f t="shared" si="24"/>
        <v xml:space="preserve"> </v>
      </c>
      <c r="V19" s="58" t="str">
        <f t="shared" si="12"/>
        <v xml:space="preserve"> </v>
      </c>
      <c r="W19" s="36" t="str">
        <f t="shared" si="3"/>
        <v xml:space="preserve"> </v>
      </c>
      <c r="X19" s="56" t="str">
        <f t="shared" si="13"/>
        <v xml:space="preserve"> </v>
      </c>
      <c r="Y19" s="58" t="str">
        <f t="shared" si="13"/>
        <v xml:space="preserve"> </v>
      </c>
      <c r="Z19" s="36" t="str">
        <f t="shared" si="4"/>
        <v xml:space="preserve"> </v>
      </c>
      <c r="AA19" s="43">
        <f t="shared" si="5"/>
        <v>0</v>
      </c>
      <c r="AB19" s="130">
        <f t="shared" si="14"/>
        <v>0</v>
      </c>
      <c r="AC19" s="131">
        <f t="shared" si="15"/>
        <v>0</v>
      </c>
      <c r="AD19" s="131">
        <f t="shared" si="16"/>
        <v>0</v>
      </c>
      <c r="AE19" s="131" t="str">
        <f t="shared" si="17"/>
        <v xml:space="preserve"> </v>
      </c>
      <c r="AF19" s="132" t="str">
        <f t="shared" si="18"/>
        <v xml:space="preserve"> </v>
      </c>
      <c r="AG19" s="185"/>
      <c r="AH19" s="136">
        <f t="shared" si="19"/>
        <v>0</v>
      </c>
      <c r="AI19" s="137">
        <f t="shared" si="20"/>
        <v>0</v>
      </c>
      <c r="AJ19" s="137">
        <f t="shared" si="21"/>
        <v>0</v>
      </c>
      <c r="AK19" s="137" t="str">
        <f t="shared" si="22"/>
        <v xml:space="preserve"> </v>
      </c>
      <c r="AL19" s="138" t="str">
        <f t="shared" si="23"/>
        <v xml:space="preserve"> </v>
      </c>
      <c r="AR19" s="170">
        <f t="shared" si="6"/>
        <v>0</v>
      </c>
      <c r="AS19" s="171">
        <f t="shared" si="7"/>
        <v>0</v>
      </c>
      <c r="AT19" s="171">
        <f t="shared" si="8"/>
        <v>0</v>
      </c>
      <c r="AU19" s="172">
        <f t="shared" si="9"/>
        <v>0</v>
      </c>
      <c r="BK19" s="68"/>
      <c r="BL19" s="68"/>
      <c r="BM19" s="68" t="str">
        <f>+Award!BM17</f>
        <v>FY 23</v>
      </c>
      <c r="BN19" s="68">
        <f>+Award!BN17</f>
        <v>10811</v>
      </c>
      <c r="BO19" s="68">
        <f>+Award!BO17</f>
        <v>4600</v>
      </c>
      <c r="BP19" s="68"/>
      <c r="BQ19" s="68"/>
      <c r="BR19" s="68"/>
      <c r="BS19" s="68"/>
    </row>
    <row r="20" spans="1:71" ht="15" hidden="1" customHeight="1" x14ac:dyDescent="0.25">
      <c r="B20">
        <v>12</v>
      </c>
      <c r="C20" s="109"/>
      <c r="D20" s="109"/>
      <c r="E20" s="12"/>
      <c r="F20" s="54"/>
      <c r="G20" s="12"/>
      <c r="H20" s="55"/>
      <c r="I20" s="12"/>
      <c r="J20" s="89">
        <v>9</v>
      </c>
      <c r="K20" s="13"/>
      <c r="L20" s="56"/>
      <c r="M20" s="57"/>
      <c r="N20" s="36">
        <f t="shared" si="0"/>
        <v>0</v>
      </c>
      <c r="O20" s="56">
        <f t="shared" si="10"/>
        <v>0</v>
      </c>
      <c r="P20" s="58">
        <f t="shared" si="10"/>
        <v>0</v>
      </c>
      <c r="Q20" s="36">
        <f t="shared" si="1"/>
        <v>0</v>
      </c>
      <c r="R20" s="56">
        <f t="shared" si="11"/>
        <v>0</v>
      </c>
      <c r="S20" s="58">
        <f t="shared" si="11"/>
        <v>0</v>
      </c>
      <c r="T20" s="36">
        <f t="shared" si="2"/>
        <v>0</v>
      </c>
      <c r="U20" s="56" t="str">
        <f t="shared" si="24"/>
        <v xml:space="preserve"> </v>
      </c>
      <c r="V20" s="58" t="str">
        <f t="shared" si="12"/>
        <v xml:space="preserve"> </v>
      </c>
      <c r="W20" s="36" t="str">
        <f t="shared" si="3"/>
        <v xml:space="preserve"> </v>
      </c>
      <c r="X20" s="56" t="str">
        <f t="shared" si="13"/>
        <v xml:space="preserve"> </v>
      </c>
      <c r="Y20" s="58" t="str">
        <f t="shared" si="13"/>
        <v xml:space="preserve"> </v>
      </c>
      <c r="Z20" s="36" t="str">
        <f t="shared" si="4"/>
        <v xml:space="preserve"> </v>
      </c>
      <c r="AA20" s="43">
        <f t="shared" si="5"/>
        <v>0</v>
      </c>
      <c r="AB20" s="130">
        <f t="shared" si="14"/>
        <v>0</v>
      </c>
      <c r="AC20" s="131">
        <f t="shared" si="15"/>
        <v>0</v>
      </c>
      <c r="AD20" s="131">
        <f t="shared" si="16"/>
        <v>0</v>
      </c>
      <c r="AE20" s="131" t="str">
        <f t="shared" si="17"/>
        <v xml:space="preserve"> </v>
      </c>
      <c r="AF20" s="132" t="str">
        <f t="shared" si="18"/>
        <v xml:space="preserve"> </v>
      </c>
      <c r="AG20" s="185"/>
      <c r="AH20" s="136">
        <f t="shared" si="19"/>
        <v>0</v>
      </c>
      <c r="AI20" s="137">
        <f t="shared" si="20"/>
        <v>0</v>
      </c>
      <c r="AJ20" s="137">
        <f t="shared" si="21"/>
        <v>0</v>
      </c>
      <c r="AK20" s="137" t="str">
        <f t="shared" si="22"/>
        <v xml:space="preserve"> </v>
      </c>
      <c r="AL20" s="138" t="str">
        <f t="shared" si="23"/>
        <v xml:space="preserve"> </v>
      </c>
      <c r="AR20" s="170">
        <f t="shared" si="6"/>
        <v>0</v>
      </c>
      <c r="AS20" s="171">
        <f t="shared" si="7"/>
        <v>0</v>
      </c>
      <c r="AT20" s="171">
        <f t="shared" si="8"/>
        <v>0</v>
      </c>
      <c r="AU20" s="172">
        <f t="shared" si="9"/>
        <v>0</v>
      </c>
      <c r="BK20" s="68"/>
      <c r="BL20" s="68"/>
      <c r="BM20" s="68" t="str">
        <f>+Award!BM18</f>
        <v>FY 24</v>
      </c>
      <c r="BN20" s="68">
        <f>+Award!BN18</f>
        <v>11352</v>
      </c>
      <c r="BO20" s="68">
        <f>+Award!BO18</f>
        <v>4800</v>
      </c>
      <c r="BP20" s="68"/>
      <c r="BQ20" s="68"/>
      <c r="BR20" s="68"/>
      <c r="BS20" s="68"/>
    </row>
    <row r="21" spans="1:71" ht="15" hidden="1" customHeight="1" x14ac:dyDescent="0.25">
      <c r="B21">
        <v>13</v>
      </c>
      <c r="C21" s="109"/>
      <c r="D21" s="109"/>
      <c r="E21" s="12"/>
      <c r="F21" s="54"/>
      <c r="G21" s="12"/>
      <c r="H21" s="55"/>
      <c r="I21" s="12"/>
      <c r="J21" s="89">
        <v>9</v>
      </c>
      <c r="K21" s="13"/>
      <c r="L21" s="56"/>
      <c r="M21" s="57"/>
      <c r="N21" s="36">
        <f t="shared" si="0"/>
        <v>0</v>
      </c>
      <c r="O21" s="56">
        <f t="shared" si="10"/>
        <v>0</v>
      </c>
      <c r="P21" s="58">
        <f t="shared" si="10"/>
        <v>0</v>
      </c>
      <c r="Q21" s="36">
        <f t="shared" si="1"/>
        <v>0</v>
      </c>
      <c r="R21" s="56">
        <f t="shared" si="11"/>
        <v>0</v>
      </c>
      <c r="S21" s="58">
        <f t="shared" si="11"/>
        <v>0</v>
      </c>
      <c r="T21" s="36">
        <f t="shared" si="2"/>
        <v>0</v>
      </c>
      <c r="U21" s="56" t="str">
        <f t="shared" si="24"/>
        <v xml:space="preserve"> </v>
      </c>
      <c r="V21" s="58" t="str">
        <f t="shared" si="12"/>
        <v xml:space="preserve"> </v>
      </c>
      <c r="W21" s="36" t="str">
        <f t="shared" si="3"/>
        <v xml:space="preserve"> </v>
      </c>
      <c r="X21" s="56" t="str">
        <f t="shared" si="13"/>
        <v xml:space="preserve"> </v>
      </c>
      <c r="Y21" s="58" t="str">
        <f t="shared" si="13"/>
        <v xml:space="preserve"> </v>
      </c>
      <c r="Z21" s="36" t="str">
        <f t="shared" si="4"/>
        <v xml:space="preserve"> </v>
      </c>
      <c r="AA21" s="43">
        <f t="shared" si="5"/>
        <v>0</v>
      </c>
      <c r="AB21" s="130">
        <f t="shared" si="14"/>
        <v>0</v>
      </c>
      <c r="AC21" s="131">
        <f t="shared" si="15"/>
        <v>0</v>
      </c>
      <c r="AD21" s="131">
        <f t="shared" si="16"/>
        <v>0</v>
      </c>
      <c r="AE21" s="131" t="str">
        <f t="shared" si="17"/>
        <v xml:space="preserve"> </v>
      </c>
      <c r="AF21" s="132" t="str">
        <f t="shared" si="18"/>
        <v xml:space="preserve"> </v>
      </c>
      <c r="AG21" s="185"/>
      <c r="AH21" s="136">
        <f t="shared" si="19"/>
        <v>0</v>
      </c>
      <c r="AI21" s="137">
        <f t="shared" si="20"/>
        <v>0</v>
      </c>
      <c r="AJ21" s="137">
        <f t="shared" si="21"/>
        <v>0</v>
      </c>
      <c r="AK21" s="137" t="str">
        <f t="shared" si="22"/>
        <v xml:space="preserve"> </v>
      </c>
      <c r="AL21" s="138" t="str">
        <f t="shared" si="23"/>
        <v xml:space="preserve"> </v>
      </c>
      <c r="AR21" s="170">
        <f t="shared" si="6"/>
        <v>0</v>
      </c>
      <c r="AS21" s="171">
        <f t="shared" si="7"/>
        <v>0</v>
      </c>
      <c r="AT21" s="171">
        <f t="shared" si="8"/>
        <v>0</v>
      </c>
      <c r="AU21" s="172">
        <f t="shared" si="9"/>
        <v>0</v>
      </c>
      <c r="BK21" s="68"/>
      <c r="BL21" s="68"/>
      <c r="BM21" s="68" t="str">
        <f>+Award!BM19</f>
        <v>FY 25</v>
      </c>
      <c r="BN21" s="68">
        <f>+Award!BN19</f>
        <v>11920</v>
      </c>
      <c r="BO21" s="68">
        <f>+Award!BO19</f>
        <v>5000</v>
      </c>
      <c r="BP21" s="68"/>
      <c r="BQ21" s="68"/>
      <c r="BR21" s="68"/>
      <c r="BS21" s="68"/>
    </row>
    <row r="22" spans="1:71" ht="15" hidden="1" customHeight="1" x14ac:dyDescent="0.25">
      <c r="B22">
        <v>14</v>
      </c>
      <c r="C22" s="109"/>
      <c r="D22" s="109"/>
      <c r="E22" s="12"/>
      <c r="F22" s="54"/>
      <c r="G22" s="12"/>
      <c r="H22" s="55"/>
      <c r="I22" s="12"/>
      <c r="J22" s="89">
        <v>9</v>
      </c>
      <c r="K22" s="13"/>
      <c r="L22" s="56"/>
      <c r="M22" s="57"/>
      <c r="N22" s="36">
        <f t="shared" si="0"/>
        <v>0</v>
      </c>
      <c r="O22" s="56">
        <f t="shared" si="10"/>
        <v>0</v>
      </c>
      <c r="P22" s="58">
        <f t="shared" si="10"/>
        <v>0</v>
      </c>
      <c r="Q22" s="36">
        <f t="shared" si="1"/>
        <v>0</v>
      </c>
      <c r="R22" s="56">
        <f t="shared" si="11"/>
        <v>0</v>
      </c>
      <c r="S22" s="58">
        <f t="shared" si="11"/>
        <v>0</v>
      </c>
      <c r="T22" s="36">
        <f t="shared" si="2"/>
        <v>0</v>
      </c>
      <c r="U22" s="56" t="str">
        <f t="shared" si="24"/>
        <v xml:space="preserve"> </v>
      </c>
      <c r="V22" s="58" t="str">
        <f t="shared" si="12"/>
        <v xml:space="preserve"> </v>
      </c>
      <c r="W22" s="36" t="str">
        <f t="shared" si="3"/>
        <v xml:space="preserve"> </v>
      </c>
      <c r="X22" s="56" t="str">
        <f t="shared" si="13"/>
        <v xml:space="preserve"> </v>
      </c>
      <c r="Y22" s="58" t="str">
        <f t="shared" si="13"/>
        <v xml:space="preserve"> </v>
      </c>
      <c r="Z22" s="36" t="str">
        <f t="shared" si="4"/>
        <v xml:space="preserve"> </v>
      </c>
      <c r="AA22" s="43">
        <f t="shared" si="5"/>
        <v>0</v>
      </c>
      <c r="AB22" s="130">
        <f t="shared" si="14"/>
        <v>0</v>
      </c>
      <c r="AC22" s="131">
        <f t="shared" si="15"/>
        <v>0</v>
      </c>
      <c r="AD22" s="131">
        <f t="shared" si="16"/>
        <v>0</v>
      </c>
      <c r="AE22" s="131" t="str">
        <f t="shared" si="17"/>
        <v xml:space="preserve"> </v>
      </c>
      <c r="AF22" s="132" t="str">
        <f t="shared" si="18"/>
        <v xml:space="preserve"> </v>
      </c>
      <c r="AG22" s="185"/>
      <c r="AH22" s="136">
        <f t="shared" si="19"/>
        <v>0</v>
      </c>
      <c r="AI22" s="137">
        <f t="shared" si="20"/>
        <v>0</v>
      </c>
      <c r="AJ22" s="137">
        <f t="shared" si="21"/>
        <v>0</v>
      </c>
      <c r="AK22" s="137" t="str">
        <f t="shared" si="22"/>
        <v xml:space="preserve"> </v>
      </c>
      <c r="AL22" s="138" t="str">
        <f t="shared" si="23"/>
        <v xml:space="preserve"> </v>
      </c>
      <c r="AR22" s="170">
        <f t="shared" si="6"/>
        <v>0</v>
      </c>
      <c r="AS22" s="171">
        <f t="shared" si="7"/>
        <v>0</v>
      </c>
      <c r="AT22" s="171">
        <f t="shared" si="8"/>
        <v>0</v>
      </c>
      <c r="AU22" s="172">
        <f t="shared" si="9"/>
        <v>0</v>
      </c>
      <c r="BK22" s="68"/>
      <c r="BL22" s="68"/>
      <c r="BM22" s="68" t="str">
        <f>+Award!BM20</f>
        <v>FY 26</v>
      </c>
      <c r="BN22" s="68">
        <f>+Award!BN20</f>
        <v>12516</v>
      </c>
      <c r="BO22" s="68">
        <f>+Award!BO20</f>
        <v>5200</v>
      </c>
      <c r="BP22" s="68"/>
      <c r="BQ22" s="68"/>
      <c r="BR22" s="68"/>
      <c r="BS22" s="68"/>
    </row>
    <row r="23" spans="1:71" ht="15" hidden="1" customHeight="1" x14ac:dyDescent="0.25">
      <c r="B23">
        <v>15</v>
      </c>
      <c r="C23" s="109"/>
      <c r="D23" s="109"/>
      <c r="E23" s="12"/>
      <c r="F23" s="54"/>
      <c r="G23" s="12"/>
      <c r="H23" s="55"/>
      <c r="I23" s="12"/>
      <c r="J23" s="89">
        <v>9</v>
      </c>
      <c r="K23" s="13"/>
      <c r="L23" s="56"/>
      <c r="M23" s="57"/>
      <c r="N23" s="36">
        <f t="shared" si="0"/>
        <v>0</v>
      </c>
      <c r="O23" s="56">
        <f t="shared" si="10"/>
        <v>0</v>
      </c>
      <c r="P23" s="58">
        <f t="shared" si="10"/>
        <v>0</v>
      </c>
      <c r="Q23" s="36">
        <f t="shared" si="1"/>
        <v>0</v>
      </c>
      <c r="R23" s="56">
        <f t="shared" si="11"/>
        <v>0</v>
      </c>
      <c r="S23" s="58">
        <f t="shared" si="11"/>
        <v>0</v>
      </c>
      <c r="T23" s="36">
        <f t="shared" si="2"/>
        <v>0</v>
      </c>
      <c r="U23" s="56" t="str">
        <f t="shared" si="24"/>
        <v xml:space="preserve"> </v>
      </c>
      <c r="V23" s="58" t="str">
        <f t="shared" si="12"/>
        <v xml:space="preserve"> </v>
      </c>
      <c r="W23" s="36" t="str">
        <f t="shared" si="3"/>
        <v xml:space="preserve"> </v>
      </c>
      <c r="X23" s="56" t="str">
        <f t="shared" si="13"/>
        <v xml:space="preserve"> </v>
      </c>
      <c r="Y23" s="58" t="str">
        <f t="shared" si="13"/>
        <v xml:space="preserve"> </v>
      </c>
      <c r="Z23" s="36" t="str">
        <f t="shared" si="4"/>
        <v xml:space="preserve"> </v>
      </c>
      <c r="AA23" s="43">
        <f t="shared" si="5"/>
        <v>0</v>
      </c>
      <c r="AB23" s="130">
        <f t="shared" si="14"/>
        <v>0</v>
      </c>
      <c r="AC23" s="131">
        <f t="shared" si="15"/>
        <v>0</v>
      </c>
      <c r="AD23" s="131">
        <f t="shared" si="16"/>
        <v>0</v>
      </c>
      <c r="AE23" s="131" t="str">
        <f t="shared" si="17"/>
        <v xml:space="preserve"> </v>
      </c>
      <c r="AF23" s="132" t="str">
        <f t="shared" si="18"/>
        <v xml:space="preserve"> </v>
      </c>
      <c r="AG23" s="185"/>
      <c r="AH23" s="136">
        <f t="shared" si="19"/>
        <v>0</v>
      </c>
      <c r="AI23" s="137">
        <f t="shared" si="20"/>
        <v>0</v>
      </c>
      <c r="AJ23" s="137">
        <f t="shared" si="21"/>
        <v>0</v>
      </c>
      <c r="AK23" s="137" t="str">
        <f t="shared" si="22"/>
        <v xml:space="preserve"> </v>
      </c>
      <c r="AL23" s="138" t="str">
        <f t="shared" si="23"/>
        <v xml:space="preserve"> </v>
      </c>
      <c r="AR23" s="170">
        <f t="shared" si="6"/>
        <v>0</v>
      </c>
      <c r="AS23" s="171">
        <f t="shared" si="7"/>
        <v>0</v>
      </c>
      <c r="AT23" s="171">
        <f t="shared" si="8"/>
        <v>0</v>
      </c>
      <c r="AU23" s="172">
        <f t="shared" si="9"/>
        <v>0</v>
      </c>
      <c r="BK23" s="68"/>
      <c r="BL23" s="68"/>
      <c r="BM23" s="68" t="str">
        <f>+Award!BM21</f>
        <v>FY 27</v>
      </c>
      <c r="BN23" s="68">
        <f>+Award!BN21</f>
        <v>13142</v>
      </c>
      <c r="BO23" s="68">
        <f>+Award!BO21</f>
        <v>5400</v>
      </c>
      <c r="BP23" s="68"/>
      <c r="BQ23" s="68"/>
      <c r="BR23" s="68"/>
      <c r="BS23" s="68"/>
    </row>
    <row r="24" spans="1:71" ht="15.75" thickBot="1" x14ac:dyDescent="0.3">
      <c r="B24">
        <v>16</v>
      </c>
      <c r="C24" s="109"/>
      <c r="D24" s="109"/>
      <c r="E24" s="12"/>
      <c r="F24" s="54"/>
      <c r="G24" s="12"/>
      <c r="H24" s="55"/>
      <c r="I24" s="12"/>
      <c r="J24" s="89">
        <v>9</v>
      </c>
      <c r="K24" s="13"/>
      <c r="L24" s="56"/>
      <c r="M24" s="57"/>
      <c r="N24" s="36">
        <f t="shared" si="0"/>
        <v>0</v>
      </c>
      <c r="O24" s="56">
        <f t="shared" si="10"/>
        <v>0</v>
      </c>
      <c r="P24" s="58">
        <f t="shared" si="10"/>
        <v>0</v>
      </c>
      <c r="Q24" s="36">
        <f t="shared" si="1"/>
        <v>0</v>
      </c>
      <c r="R24" s="56">
        <f t="shared" si="11"/>
        <v>0</v>
      </c>
      <c r="S24" s="58">
        <f t="shared" si="11"/>
        <v>0</v>
      </c>
      <c r="T24" s="36">
        <f t="shared" si="2"/>
        <v>0</v>
      </c>
      <c r="U24" s="56" t="str">
        <f t="shared" si="24"/>
        <v xml:space="preserve"> </v>
      </c>
      <c r="V24" s="58" t="str">
        <f t="shared" si="12"/>
        <v xml:space="preserve"> </v>
      </c>
      <c r="W24" s="36" t="str">
        <f t="shared" si="3"/>
        <v xml:space="preserve"> </v>
      </c>
      <c r="X24" s="56" t="str">
        <f t="shared" si="13"/>
        <v xml:space="preserve"> </v>
      </c>
      <c r="Y24" s="58" t="str">
        <f t="shared" si="13"/>
        <v xml:space="preserve"> </v>
      </c>
      <c r="Z24" s="36" t="str">
        <f t="shared" si="4"/>
        <v xml:space="preserve"> </v>
      </c>
      <c r="AA24" s="43">
        <f t="shared" si="5"/>
        <v>0</v>
      </c>
      <c r="AB24" s="130">
        <f t="shared" si="14"/>
        <v>0</v>
      </c>
      <c r="AC24" s="131">
        <f t="shared" si="15"/>
        <v>0</v>
      </c>
      <c r="AD24" s="131">
        <f t="shared" si="16"/>
        <v>0</v>
      </c>
      <c r="AE24" s="131" t="str">
        <f t="shared" si="17"/>
        <v xml:space="preserve"> </v>
      </c>
      <c r="AF24" s="132" t="str">
        <f t="shared" si="18"/>
        <v xml:space="preserve"> </v>
      </c>
      <c r="AG24" s="185"/>
      <c r="AH24" s="136">
        <f t="shared" si="19"/>
        <v>0</v>
      </c>
      <c r="AI24" s="137">
        <f t="shared" si="20"/>
        <v>0</v>
      </c>
      <c r="AJ24" s="137">
        <f t="shared" si="21"/>
        <v>0</v>
      </c>
      <c r="AK24" s="137" t="str">
        <f t="shared" si="22"/>
        <v xml:space="preserve"> </v>
      </c>
      <c r="AL24" s="138" t="str">
        <f t="shared" si="23"/>
        <v xml:space="preserve"> </v>
      </c>
      <c r="AR24" s="173">
        <f t="shared" si="6"/>
        <v>0</v>
      </c>
      <c r="AS24" s="174">
        <f t="shared" si="7"/>
        <v>0</v>
      </c>
      <c r="AT24" s="174">
        <f t="shared" si="8"/>
        <v>0</v>
      </c>
      <c r="AU24" s="175">
        <f t="shared" si="9"/>
        <v>0</v>
      </c>
      <c r="BK24" s="68"/>
      <c r="BL24" s="68"/>
      <c r="BM24" s="68" t="str">
        <f>+Award!BM22</f>
        <v>FY 28</v>
      </c>
      <c r="BN24" s="68">
        <f>+Award!BN22</f>
        <v>13799</v>
      </c>
      <c r="BO24" s="68">
        <f>+Award!BO22</f>
        <v>5600</v>
      </c>
      <c r="BP24" s="68"/>
      <c r="BQ24" s="68"/>
      <c r="BR24" s="68"/>
      <c r="BS24" s="68"/>
    </row>
    <row r="25" spans="1:71" ht="16.5" thickTop="1" thickBot="1" x14ac:dyDescent="0.3">
      <c r="C25" s="7" t="s">
        <v>88</v>
      </c>
      <c r="H25" s="50"/>
      <c r="L25" s="17"/>
      <c r="M25" s="9"/>
      <c r="N25" s="37">
        <f>SUM(N9:N24)</f>
        <v>0</v>
      </c>
      <c r="O25" s="18"/>
      <c r="P25" s="9"/>
      <c r="Q25" s="37">
        <f>SUM(Q9:Q24)</f>
        <v>0</v>
      </c>
      <c r="R25" s="18"/>
      <c r="S25" s="9"/>
      <c r="T25" s="37">
        <f>SUM(T9:T24)</f>
        <v>0</v>
      </c>
      <c r="U25" s="18"/>
      <c r="V25" s="9"/>
      <c r="W25" s="37">
        <f>SUM(W9:W24)</f>
        <v>0</v>
      </c>
      <c r="X25" s="18"/>
      <c r="Y25" s="9"/>
      <c r="Z25" s="37">
        <f>SUM(Z9:Z24)</f>
        <v>0</v>
      </c>
      <c r="AA25" s="44">
        <f>SUM(AA9:AA24)</f>
        <v>0</v>
      </c>
      <c r="AB25" s="133">
        <f>SUM(AB9:AB24)</f>
        <v>0</v>
      </c>
      <c r="AC25" s="134">
        <f t="shared" ref="AC25:AF25" si="25">SUM(AC9:AC24)</f>
        <v>0</v>
      </c>
      <c r="AD25" s="134">
        <f t="shared" si="25"/>
        <v>0</v>
      </c>
      <c r="AE25" s="134">
        <f t="shared" si="25"/>
        <v>0</v>
      </c>
      <c r="AF25" s="135">
        <f t="shared" si="25"/>
        <v>0</v>
      </c>
      <c r="AG25" s="105" t="s">
        <v>104</v>
      </c>
      <c r="AH25" s="140">
        <f>SUM(AH9:AH24)</f>
        <v>0</v>
      </c>
      <c r="AI25" s="141">
        <f t="shared" ref="AI25:AL25" si="26">SUM(AI9:AI24)</f>
        <v>0</v>
      </c>
      <c r="AJ25" s="141">
        <f t="shared" si="26"/>
        <v>0</v>
      </c>
      <c r="AK25" s="141">
        <f t="shared" si="26"/>
        <v>0</v>
      </c>
      <c r="AL25" s="142">
        <f t="shared" si="26"/>
        <v>0</v>
      </c>
      <c r="AR25" s="93"/>
      <c r="AS25" s="93"/>
      <c r="AT25" s="93"/>
      <c r="AU25" s="93"/>
      <c r="BK25" s="68"/>
      <c r="BL25" s="68"/>
      <c r="BM25" s="68" t="str">
        <f>+Award!BM23</f>
        <v>FY 29</v>
      </c>
      <c r="BN25" s="68">
        <f>+Award!BN23</f>
        <v>14489</v>
      </c>
      <c r="BO25" s="68">
        <f>+Award!BO23</f>
        <v>5800</v>
      </c>
      <c r="BP25" s="68"/>
      <c r="BQ25" s="68"/>
      <c r="BR25" s="68"/>
      <c r="BS25" s="68"/>
    </row>
    <row r="26" spans="1:71" ht="15.75" thickTop="1" x14ac:dyDescent="0.25">
      <c r="H26" s="50"/>
      <c r="L26" s="18"/>
      <c r="M26" s="11"/>
      <c r="N26" s="38"/>
      <c r="O26" s="18"/>
      <c r="P26" s="11"/>
      <c r="Q26" s="38"/>
      <c r="R26" s="18"/>
      <c r="S26" s="11"/>
      <c r="T26" s="38"/>
      <c r="U26" s="18"/>
      <c r="V26" s="11"/>
      <c r="W26" s="38"/>
      <c r="X26" s="18"/>
      <c r="Y26" s="11"/>
      <c r="Z26" s="38"/>
      <c r="AA26" s="45"/>
      <c r="AH26" s="119"/>
      <c r="AI26" s="119"/>
      <c r="AJ26" s="119"/>
      <c r="AK26" s="119"/>
      <c r="AL26" s="119"/>
      <c r="AR26" s="93"/>
      <c r="AS26" s="93"/>
      <c r="AT26" s="93"/>
      <c r="AU26" s="93"/>
      <c r="BK26" s="68"/>
      <c r="BL26" s="68"/>
      <c r="BM26" s="68" t="str">
        <f>+Award!BM24</f>
        <v>FY 30</v>
      </c>
      <c r="BN26" s="68">
        <f>+Award!BN24</f>
        <v>15213</v>
      </c>
      <c r="BO26" s="68">
        <f>+Award!BO24</f>
        <v>6000</v>
      </c>
      <c r="BP26" s="68"/>
      <c r="BQ26" s="68"/>
      <c r="BR26" s="68"/>
      <c r="BS26" s="68"/>
    </row>
    <row r="27" spans="1:71" ht="29.25" customHeight="1" thickBot="1" x14ac:dyDescent="0.3">
      <c r="A27" t="s">
        <v>15</v>
      </c>
      <c r="B27" s="357" t="s">
        <v>89</v>
      </c>
      <c r="C27" s="357"/>
      <c r="D27" s="357"/>
      <c r="F27" s="100" t="s">
        <v>90</v>
      </c>
      <c r="G27" s="7" t="s">
        <v>32</v>
      </c>
      <c r="H27" s="50"/>
      <c r="L27" s="18"/>
      <c r="M27" s="11"/>
      <c r="N27" s="38"/>
      <c r="O27" s="18"/>
      <c r="P27" s="11"/>
      <c r="Q27" s="38" t="s">
        <v>80</v>
      </c>
      <c r="R27" s="18"/>
      <c r="S27" s="11"/>
      <c r="T27" s="38" t="s">
        <v>80</v>
      </c>
      <c r="U27" s="18"/>
      <c r="V27" s="11"/>
      <c r="W27" s="38" t="s">
        <v>80</v>
      </c>
      <c r="X27" s="18"/>
      <c r="Y27" s="11"/>
      <c r="Z27" s="38" t="str">
        <f t="shared" ref="Z27" si="27">+IF($S$4&gt;4,(($H27*(1+$W$4))*Y27)," ")</f>
        <v xml:space="preserve"> </v>
      </c>
      <c r="AA27" s="45"/>
      <c r="AH27" s="119"/>
      <c r="AI27" s="119"/>
      <c r="AJ27" s="119"/>
      <c r="AK27" s="119"/>
      <c r="AL27" s="119"/>
      <c r="AR27" s="93"/>
      <c r="AS27" s="93"/>
      <c r="AT27" s="93"/>
      <c r="AU27" s="93"/>
      <c r="BK27" s="68"/>
      <c r="BR27" s="68"/>
      <c r="BS27" s="68"/>
    </row>
    <row r="28" spans="1:71" ht="15.75" thickTop="1" x14ac:dyDescent="0.25">
      <c r="B28">
        <v>1</v>
      </c>
      <c r="C28" s="54">
        <v>0</v>
      </c>
      <c r="D28" s="12" t="s">
        <v>37</v>
      </c>
      <c r="E28" s="12"/>
      <c r="F28" s="54" t="s">
        <v>46</v>
      </c>
      <c r="G28" s="12"/>
      <c r="H28" s="55"/>
      <c r="I28" s="90"/>
      <c r="J28" s="91"/>
      <c r="K28" s="91"/>
      <c r="L28" s="76"/>
      <c r="M28" s="29"/>
      <c r="N28" s="39">
        <f>+(L28*H28)*C28</f>
        <v>0</v>
      </c>
      <c r="O28" s="56">
        <f t="shared" ref="O28:O31" si="28">+IF($S$4&gt;1,L28," ")</f>
        <v>0</v>
      </c>
      <c r="P28" s="29"/>
      <c r="Q28" s="39">
        <f>+IF($S$4&gt;1,((AR28*O28)*C28)," ")</f>
        <v>0</v>
      </c>
      <c r="R28" s="56">
        <f t="shared" ref="R28:R33" si="29">+IF($S$4&gt;2,O28," ")</f>
        <v>0</v>
      </c>
      <c r="S28" s="29"/>
      <c r="T28" s="36">
        <f>+IF($S$4&gt;2,((AS28*R28)*C28)," ")</f>
        <v>0</v>
      </c>
      <c r="U28" s="56" t="str">
        <f t="shared" ref="U28:U32" si="30">+IF($S$4&gt;3,R28," ")</f>
        <v xml:space="preserve"> </v>
      </c>
      <c r="V28" s="29"/>
      <c r="W28" s="39" t="str">
        <f>+IF($S$4&gt;3,((AT28*U28)*C28)," ")</f>
        <v xml:space="preserve"> </v>
      </c>
      <c r="X28" s="56" t="str">
        <f t="shared" ref="X28:X33" si="31">+IF($S$4&gt;4,U28," ")</f>
        <v xml:space="preserve"> </v>
      </c>
      <c r="Y28" s="29"/>
      <c r="Z28" s="39" t="str">
        <f>+IF($S$4&gt;4,((AU28*X28)*C28)," ")</f>
        <v xml:space="preserve"> </v>
      </c>
      <c r="AA28" s="43">
        <f t="shared" ref="AA28:AA33" si="32">SUM(N28,Q28,T28,W28,Z28)</f>
        <v>0</v>
      </c>
      <c r="AB28" s="143"/>
      <c r="AC28" s="144"/>
      <c r="AD28" s="144"/>
      <c r="AE28" s="144"/>
      <c r="AF28" s="145"/>
      <c r="AH28" s="150">
        <f>+($L$39*L28)+(N28*0.15)</f>
        <v>0</v>
      </c>
      <c r="AI28" s="151">
        <f>+IF($S$4&gt;1,(($L$39*1.05)*O28)+(Q28*0.15)," ")</f>
        <v>0</v>
      </c>
      <c r="AJ28" s="151">
        <f>+IF($S$4&gt;2,(($L$39*1.1)*R28)+(T28*0.15)," ")</f>
        <v>0</v>
      </c>
      <c r="AK28" s="151" t="str">
        <f>+IF($S$4&gt;3,(($L$39*1.15)*U28)+(W28*0.15)," ")</f>
        <v xml:space="preserve"> </v>
      </c>
      <c r="AL28" s="152" t="str">
        <f>+IF($S$4&gt;4,(($L$39*1.2)*X28)+(Z28*0.15)," ")</f>
        <v xml:space="preserve"> </v>
      </c>
      <c r="AR28" s="176">
        <f t="shared" ref="AR28:AR33" si="33">+IF($S$4&gt;1,H28*(1+$W$4),0)</f>
        <v>0</v>
      </c>
      <c r="AS28" s="177">
        <f t="shared" ref="AS28:AS33" si="34">+IF($S$4&gt;2,ROUND(AR28*(1+$W$4),0),0)</f>
        <v>0</v>
      </c>
      <c r="AT28" s="177">
        <f t="shared" ref="AT28:AT33" si="35">+IF($S$4&gt;3,ROUND(AS28*(1+$W$4),0),0)</f>
        <v>0</v>
      </c>
      <c r="AU28" s="178">
        <f t="shared" ref="AU28:AU33" si="36">+IF($S$4&gt;4,ROUND(AT28*(1+$W$4),0),0)</f>
        <v>0</v>
      </c>
      <c r="BK28" s="68"/>
      <c r="BR28" s="68"/>
      <c r="BS28" s="68"/>
    </row>
    <row r="29" spans="1:71" x14ac:dyDescent="0.25">
      <c r="B29">
        <v>2</v>
      </c>
      <c r="C29" s="54">
        <v>0</v>
      </c>
      <c r="D29" s="86" t="s">
        <v>38</v>
      </c>
      <c r="E29" s="12"/>
      <c r="F29" s="54" t="s">
        <v>46</v>
      </c>
      <c r="G29" s="12"/>
      <c r="H29" s="55"/>
      <c r="I29" s="90"/>
      <c r="J29" s="91"/>
      <c r="K29" s="91"/>
      <c r="L29" s="76"/>
      <c r="M29" s="29"/>
      <c r="N29" s="39">
        <f>+(L29*H29)*C29</f>
        <v>0</v>
      </c>
      <c r="O29" s="56">
        <f t="shared" si="28"/>
        <v>0</v>
      </c>
      <c r="P29" s="29"/>
      <c r="Q29" s="39">
        <f>+IF($S$4&gt;1,((AR29*O29)*C29)," ")</f>
        <v>0</v>
      </c>
      <c r="R29" s="56">
        <f t="shared" si="29"/>
        <v>0</v>
      </c>
      <c r="S29" s="29"/>
      <c r="T29" s="39">
        <f>+IF($S$4&gt;2,((AS29*R29)*C29)," ")</f>
        <v>0</v>
      </c>
      <c r="U29" s="56" t="str">
        <f t="shared" si="30"/>
        <v xml:space="preserve"> </v>
      </c>
      <c r="V29" s="29"/>
      <c r="W29" s="39" t="str">
        <f>+IF($S$4&gt;3,((AT29*U29)*C29)," ")</f>
        <v xml:space="preserve"> </v>
      </c>
      <c r="X29" s="56" t="str">
        <f t="shared" si="31"/>
        <v xml:space="preserve"> </v>
      </c>
      <c r="Y29" s="29"/>
      <c r="Z29" s="39" t="str">
        <f>+IF($S$4&gt;4,((AU29*X29)*C29)," ")</f>
        <v xml:space="preserve"> </v>
      </c>
      <c r="AA29" s="43">
        <f t="shared" si="32"/>
        <v>0</v>
      </c>
      <c r="AB29" s="146"/>
      <c r="AC29" s="131"/>
      <c r="AD29" s="131"/>
      <c r="AE29" s="131"/>
      <c r="AF29" s="132"/>
      <c r="AH29" s="136">
        <f>+($L$39*L29)+(N29*0.15)</f>
        <v>0</v>
      </c>
      <c r="AI29" s="137">
        <f>+IF($S$4&gt;1,(($L$39*1.05)*O29)+(Q29*0.15)," ")</f>
        <v>0</v>
      </c>
      <c r="AJ29" s="137">
        <f>+IF($S$4&gt;2,(($L$39*1.1)*R29)+(T29*0.15)," ")</f>
        <v>0</v>
      </c>
      <c r="AK29" s="137" t="str">
        <f>+IF($S$4&gt;3,(($L$39*1.15)*U29)+(W29*0.15)," ")</f>
        <v xml:space="preserve"> </v>
      </c>
      <c r="AL29" s="138" t="str">
        <f>+IF($S$4&gt;4,(($L$39*1.2)*X29)+(Z29*0.15)," ")</f>
        <v xml:space="preserve"> </v>
      </c>
      <c r="AR29" s="170">
        <f t="shared" si="33"/>
        <v>0</v>
      </c>
      <c r="AS29" s="171">
        <f t="shared" si="34"/>
        <v>0</v>
      </c>
      <c r="AT29" s="171">
        <f t="shared" si="35"/>
        <v>0</v>
      </c>
      <c r="AU29" s="172">
        <f t="shared" si="36"/>
        <v>0</v>
      </c>
      <c r="BK29" s="68"/>
      <c r="BR29" s="68"/>
      <c r="BS29" s="68"/>
    </row>
    <row r="30" spans="1:71" x14ac:dyDescent="0.25">
      <c r="B30">
        <v>3</v>
      </c>
      <c r="C30" s="54">
        <v>0</v>
      </c>
      <c r="D30" s="12" t="s">
        <v>39</v>
      </c>
      <c r="E30" s="12"/>
      <c r="F30" s="54" t="s">
        <v>47</v>
      </c>
      <c r="G30" s="54" t="s">
        <v>46</v>
      </c>
      <c r="H30" s="55"/>
      <c r="I30" s="90"/>
      <c r="J30" s="91"/>
      <c r="K30" s="91"/>
      <c r="L30" s="76"/>
      <c r="M30" s="29"/>
      <c r="N30" s="39">
        <f>+(L30*H30)*C30</f>
        <v>0</v>
      </c>
      <c r="O30" s="56">
        <f t="shared" si="28"/>
        <v>0</v>
      </c>
      <c r="P30" s="29"/>
      <c r="Q30" s="39">
        <f>+IF($S$4&gt;1,((AR30*O30)*C30)," ")</f>
        <v>0</v>
      </c>
      <c r="R30" s="56">
        <f t="shared" si="29"/>
        <v>0</v>
      </c>
      <c r="S30" s="29"/>
      <c r="T30" s="36">
        <f>+IF($S$4&gt;2,((AS30*R30)*C30)," ")</f>
        <v>0</v>
      </c>
      <c r="U30" s="56" t="str">
        <f t="shared" si="30"/>
        <v xml:space="preserve"> </v>
      </c>
      <c r="V30" s="29"/>
      <c r="W30" s="39" t="str">
        <f>+IF($S$4&gt;3,((AT30*U30)*C30)," ")</f>
        <v xml:space="preserve"> </v>
      </c>
      <c r="X30" s="56" t="str">
        <f t="shared" si="31"/>
        <v xml:space="preserve"> </v>
      </c>
      <c r="Y30" s="29"/>
      <c r="Z30" s="39" t="str">
        <f>+IF($S$4&gt;4,((AU30*X30)*C30)," ")</f>
        <v xml:space="preserve"> </v>
      </c>
      <c r="AA30" s="43">
        <f t="shared" si="32"/>
        <v>0</v>
      </c>
      <c r="AB30" s="146" t="s">
        <v>149</v>
      </c>
      <c r="AC30" s="131"/>
      <c r="AD30" s="131"/>
      <c r="AE30" s="131"/>
      <c r="AF30" s="132"/>
      <c r="AH30" s="136">
        <f>+N30*$BP$10+IF(F30="Y",(L30*2)*($L$39*C30),0)</f>
        <v>0</v>
      </c>
      <c r="AI30" s="137">
        <f>+IF($S$4&gt;1,Q30*$BP$10+IF(F30="Y",(O30*2)*(($L$39*$BU$10)*C30))," ")</f>
        <v>0</v>
      </c>
      <c r="AJ30" s="137">
        <f>+IF($S$4&gt;2,T30*$BP$10+IF(F30="Y",(R30*2)*(($L$39*$BU$11)*C30))," ")</f>
        <v>0</v>
      </c>
      <c r="AK30" s="137" t="str">
        <f>+IF($S$4&gt;3,W30*$BP$10+IF(F30="Y",(U30*2)*(($L$39*$BU$12)*C30))," ")</f>
        <v xml:space="preserve"> </v>
      </c>
      <c r="AL30" s="138" t="str">
        <f>+IF($S$4&gt;4,Z30*$BP$10+IF(F30="Y",(X30*2)*(($L$39*$BU$13)*C30))," ")</f>
        <v xml:space="preserve"> </v>
      </c>
      <c r="AR30" s="170">
        <f t="shared" si="33"/>
        <v>0</v>
      </c>
      <c r="AS30" s="171">
        <f t="shared" si="34"/>
        <v>0</v>
      </c>
      <c r="AT30" s="171">
        <f t="shared" si="35"/>
        <v>0</v>
      </c>
      <c r="AU30" s="172">
        <f t="shared" si="36"/>
        <v>0</v>
      </c>
      <c r="BK30" s="68"/>
      <c r="BR30" s="68"/>
      <c r="BS30" s="68"/>
    </row>
    <row r="31" spans="1:71" x14ac:dyDescent="0.25">
      <c r="B31">
        <v>4</v>
      </c>
      <c r="C31" s="54">
        <v>0</v>
      </c>
      <c r="D31" s="12" t="s">
        <v>39</v>
      </c>
      <c r="E31" s="12"/>
      <c r="F31" s="54" t="s">
        <v>47</v>
      </c>
      <c r="G31" s="54" t="s">
        <v>46</v>
      </c>
      <c r="H31" s="55"/>
      <c r="I31" s="90"/>
      <c r="J31" s="91"/>
      <c r="K31" s="91"/>
      <c r="L31" s="76"/>
      <c r="M31" s="29"/>
      <c r="N31" s="39">
        <f>+(L31*H31)*C31</f>
        <v>0</v>
      </c>
      <c r="O31" s="56">
        <f t="shared" si="28"/>
        <v>0</v>
      </c>
      <c r="P31" s="29"/>
      <c r="Q31" s="39">
        <f>+IF($S$4&gt;1,((AR31*O31)*C31)," ")</f>
        <v>0</v>
      </c>
      <c r="R31" s="56">
        <f t="shared" si="29"/>
        <v>0</v>
      </c>
      <c r="S31" s="29"/>
      <c r="T31" s="36">
        <f>+IF($S$4&gt;2,((AS31*R31)*C31)," ")</f>
        <v>0</v>
      </c>
      <c r="U31" s="56" t="str">
        <f t="shared" si="30"/>
        <v xml:space="preserve"> </v>
      </c>
      <c r="V31" s="29"/>
      <c r="W31" s="39" t="str">
        <f>+IF($S$4&gt;3,((AT31*U31)*C31)," ")</f>
        <v xml:space="preserve"> </v>
      </c>
      <c r="X31" s="56" t="str">
        <f t="shared" si="31"/>
        <v xml:space="preserve"> </v>
      </c>
      <c r="Y31" s="29"/>
      <c r="Z31" s="39" t="str">
        <f>+IF($S$4&gt;4,((AU31*X31)*C31)," ")</f>
        <v xml:space="preserve"> </v>
      </c>
      <c r="AA31" s="43">
        <f t="shared" si="32"/>
        <v>0</v>
      </c>
      <c r="AB31" s="146" t="s">
        <v>149</v>
      </c>
      <c r="AC31" s="131"/>
      <c r="AD31" s="131"/>
      <c r="AE31" s="131"/>
      <c r="AF31" s="132"/>
      <c r="AH31" s="136">
        <f>+N31*$BP$10+IF(F31="Y",(L31*2)*($L$39*C31),0)</f>
        <v>0</v>
      </c>
      <c r="AI31" s="137">
        <f>+IF($S$4&gt;1,Q31*$BP$10+IF(F31="Y",(O31*2)*(($L$39*$BU$10)*C31))," ")</f>
        <v>0</v>
      </c>
      <c r="AJ31" s="137">
        <f>+IF($S$4&gt;2,T31*$BP$10+IF(F31="Y",(R31*2)*(($L$39*$BU$11)*C31))," ")</f>
        <v>0</v>
      </c>
      <c r="AK31" s="137" t="str">
        <f>+IF($S$4&gt;3,W31*$BP$10+IF(F31="Y",(U31*2)*(($L$39*$BU$12)*C31))," ")</f>
        <v xml:space="preserve"> </v>
      </c>
      <c r="AL31" s="138" t="str">
        <f>+IF($S$4&gt;4,Z31*$BP$10+IF(F31="Y",(X31*2)*(($L$39*$BU$13)*C31))," ")</f>
        <v xml:space="preserve"> </v>
      </c>
      <c r="AR31" s="170">
        <f t="shared" si="33"/>
        <v>0</v>
      </c>
      <c r="AS31" s="171">
        <f t="shared" si="34"/>
        <v>0</v>
      </c>
      <c r="AT31" s="171">
        <f t="shared" si="35"/>
        <v>0</v>
      </c>
      <c r="AU31" s="172">
        <f t="shared" si="36"/>
        <v>0</v>
      </c>
      <c r="BK31" s="68"/>
      <c r="BR31" s="68"/>
      <c r="BS31" s="68"/>
    </row>
    <row r="32" spans="1:71" x14ac:dyDescent="0.25">
      <c r="B32">
        <v>5</v>
      </c>
      <c r="C32" s="54">
        <v>0</v>
      </c>
      <c r="D32" s="12" t="s">
        <v>40</v>
      </c>
      <c r="E32" s="12"/>
      <c r="F32" s="12"/>
      <c r="G32" s="12"/>
      <c r="H32" s="57"/>
      <c r="I32" s="90"/>
      <c r="J32" s="91"/>
      <c r="K32" s="91"/>
      <c r="L32" s="94"/>
      <c r="M32" s="29"/>
      <c r="N32" s="39">
        <f>+(L32*H32)*C32</f>
        <v>0</v>
      </c>
      <c r="O32" s="62">
        <f>+IF($S$4&gt;1,L32," ")</f>
        <v>0</v>
      </c>
      <c r="P32" s="29"/>
      <c r="Q32" s="39">
        <f>+IF($S$4&gt;1,((AR32*O32)*C32)," ")</f>
        <v>0</v>
      </c>
      <c r="R32" s="62">
        <f t="shared" si="29"/>
        <v>0</v>
      </c>
      <c r="S32" s="29"/>
      <c r="T32" s="36">
        <f>+IF($S$4&gt;2,R32*AS32*C32," ")</f>
        <v>0</v>
      </c>
      <c r="U32" s="62" t="str">
        <f t="shared" si="30"/>
        <v xml:space="preserve"> </v>
      </c>
      <c r="V32" s="29"/>
      <c r="W32" s="39" t="str">
        <f>+IF($S$4&gt;3,((AT32*U32)*C32)," ")</f>
        <v xml:space="preserve"> </v>
      </c>
      <c r="X32" s="62" t="str">
        <f t="shared" si="31"/>
        <v xml:space="preserve"> </v>
      </c>
      <c r="Y32" s="29"/>
      <c r="Z32" s="39" t="str">
        <f>+IF($S$4&gt;4,((AU32*X32)*C32)," ")</f>
        <v xml:space="preserve"> </v>
      </c>
      <c r="AA32" s="43">
        <f t="shared" si="32"/>
        <v>0</v>
      </c>
      <c r="AB32" s="146" t="s">
        <v>149</v>
      </c>
      <c r="AC32" s="131"/>
      <c r="AD32" s="131"/>
      <c r="AE32" s="131"/>
      <c r="AF32" s="132"/>
      <c r="AH32" s="136">
        <f>+N32*BP10</f>
        <v>0</v>
      </c>
      <c r="AI32" s="137">
        <f>+IF($S$4&gt;1,Q32*BP10," ")</f>
        <v>0</v>
      </c>
      <c r="AJ32" s="137">
        <f>+IF($S$4&gt;2,T32*BP10," ")</f>
        <v>0</v>
      </c>
      <c r="AK32" s="137" t="str">
        <f>+IF($S$4&gt;3,W32*BP10," ")</f>
        <v xml:space="preserve"> </v>
      </c>
      <c r="AL32" s="138" t="str">
        <f>+IF($S$4&gt;4,Z32*BP10," ")</f>
        <v xml:space="preserve"> </v>
      </c>
      <c r="AR32" s="179">
        <f t="shared" si="33"/>
        <v>0</v>
      </c>
      <c r="AS32" s="180">
        <f>+IF($S$4&gt;2,ROUND(AR32*(1+$W$4),2),0)</f>
        <v>0</v>
      </c>
      <c r="AT32" s="180">
        <f>+IF($S$4&gt;3,ROUND(AS32*(1+W4),2),0)</f>
        <v>0</v>
      </c>
      <c r="AU32" s="181">
        <f>+IF($S$4&gt;4,ROUND(AT32*(1+$W$4),2),0)</f>
        <v>0</v>
      </c>
      <c r="BK32" s="68"/>
      <c r="BR32" s="68"/>
      <c r="BS32" s="68"/>
    </row>
    <row r="33" spans="1:71" ht="30.75" thickBot="1" x14ac:dyDescent="0.3">
      <c r="B33">
        <v>6</v>
      </c>
      <c r="C33" s="54">
        <v>0</v>
      </c>
      <c r="D33" s="87" t="s">
        <v>41</v>
      </c>
      <c r="E33" s="12"/>
      <c r="F33" s="54" t="s">
        <v>46</v>
      </c>
      <c r="G33" s="12"/>
      <c r="H33" s="61"/>
      <c r="I33" s="90"/>
      <c r="J33" s="91"/>
      <c r="K33" s="91"/>
      <c r="L33" s="92"/>
      <c r="M33" s="29"/>
      <c r="N33" s="63">
        <v>0</v>
      </c>
      <c r="O33" s="92" t="s">
        <v>80</v>
      </c>
      <c r="P33" s="29"/>
      <c r="Q33" s="63">
        <v>0</v>
      </c>
      <c r="R33" s="92" t="str">
        <f t="shared" si="29"/>
        <v xml:space="preserve"> </v>
      </c>
      <c r="S33" s="29"/>
      <c r="T33" s="63">
        <v>0</v>
      </c>
      <c r="U33" s="92" t="s">
        <v>80</v>
      </c>
      <c r="V33" s="29"/>
      <c r="W33" s="63">
        <v>0</v>
      </c>
      <c r="X33" s="92" t="str">
        <f t="shared" si="31"/>
        <v xml:space="preserve"> </v>
      </c>
      <c r="Y33" s="29"/>
      <c r="Z33" s="63">
        <v>0</v>
      </c>
      <c r="AA33" s="43">
        <f t="shared" si="32"/>
        <v>0</v>
      </c>
      <c r="AB33" s="147"/>
      <c r="AC33" s="148"/>
      <c r="AD33" s="148"/>
      <c r="AE33" s="148"/>
      <c r="AF33" s="149"/>
      <c r="AH33" s="136">
        <f>+N33*0.02</f>
        <v>0</v>
      </c>
      <c r="AI33" s="137">
        <f>+IF($S$4&gt;1,Q33*0.02," ")</f>
        <v>0</v>
      </c>
      <c r="AJ33" s="137">
        <f>+IF($S$4&gt;2,T33*0.02," ")</f>
        <v>0</v>
      </c>
      <c r="AK33" s="137" t="str">
        <f>+IF($S$4&gt;3,W33*0.02," ")</f>
        <v xml:space="preserve"> </v>
      </c>
      <c r="AL33" s="138" t="str">
        <f>+IF($S$4&gt;4,Z33*0.02," ")</f>
        <v xml:space="preserve"> </v>
      </c>
      <c r="AR33" s="173">
        <f t="shared" si="33"/>
        <v>0</v>
      </c>
      <c r="AS33" s="174">
        <f t="shared" si="34"/>
        <v>0</v>
      </c>
      <c r="AT33" s="174">
        <f t="shared" si="35"/>
        <v>0</v>
      </c>
      <c r="AU33" s="175">
        <f t="shared" si="36"/>
        <v>0</v>
      </c>
      <c r="BK33" s="68"/>
      <c r="BR33" s="68"/>
      <c r="BS33" s="68"/>
    </row>
    <row r="34" spans="1:71" ht="16.5" thickTop="1" thickBot="1" x14ac:dyDescent="0.3">
      <c r="C34" s="7" t="s">
        <v>91</v>
      </c>
      <c r="L34" s="17"/>
      <c r="M34" s="9"/>
      <c r="N34" s="37">
        <f>SUM(N27:N33)</f>
        <v>0</v>
      </c>
      <c r="O34" s="18"/>
      <c r="P34" s="9"/>
      <c r="Q34" s="37">
        <f>SUM(Q27:Q33)</f>
        <v>0</v>
      </c>
      <c r="R34" s="18"/>
      <c r="S34" s="9"/>
      <c r="T34" s="37">
        <f>SUM(T27:T33)</f>
        <v>0</v>
      </c>
      <c r="U34" s="18"/>
      <c r="V34" s="9"/>
      <c r="W34" s="37">
        <f>SUM(W27:W33)</f>
        <v>0</v>
      </c>
      <c r="X34" s="18"/>
      <c r="Y34" s="9"/>
      <c r="Z34" s="37">
        <f>SUM(Z27:Z33)</f>
        <v>0</v>
      </c>
      <c r="AA34" s="44">
        <f>SUM(AA27:AA33)</f>
        <v>0</v>
      </c>
      <c r="AG34" s="105" t="s">
        <v>104</v>
      </c>
      <c r="AH34" s="140">
        <f>SUM(AH28:AH33)</f>
        <v>0</v>
      </c>
      <c r="AI34" s="141">
        <f t="shared" ref="AI34:AL34" si="37">SUM(AI28:AI33)</f>
        <v>0</v>
      </c>
      <c r="AJ34" s="141">
        <f t="shared" si="37"/>
        <v>0</v>
      </c>
      <c r="AK34" s="141">
        <f t="shared" si="37"/>
        <v>0</v>
      </c>
      <c r="AL34" s="142">
        <f t="shared" si="37"/>
        <v>0</v>
      </c>
      <c r="BK34" s="68"/>
      <c r="BR34" s="68"/>
      <c r="BS34" s="68"/>
    </row>
    <row r="35" spans="1:71" ht="15.75" thickTop="1" x14ac:dyDescent="0.25">
      <c r="L35" s="18"/>
      <c r="M35" s="11"/>
      <c r="N35" s="38"/>
      <c r="O35" s="18"/>
      <c r="P35" s="11"/>
      <c r="Q35" s="38"/>
      <c r="R35" s="18"/>
      <c r="S35" s="11"/>
      <c r="T35" s="38"/>
      <c r="U35" s="18"/>
      <c r="V35" s="11"/>
      <c r="W35" s="38"/>
      <c r="X35" s="18"/>
      <c r="Y35" s="11"/>
      <c r="Z35" s="38"/>
      <c r="AA35" s="45"/>
      <c r="AL35" t="s">
        <v>80</v>
      </c>
      <c r="BK35" s="68"/>
      <c r="BR35" s="68"/>
      <c r="BS35" s="68"/>
    </row>
    <row r="36" spans="1:71" x14ac:dyDescent="0.25">
      <c r="C36" s="7" t="s">
        <v>42</v>
      </c>
      <c r="L36" s="18"/>
      <c r="M36" s="11"/>
      <c r="N36" s="40">
        <f>+N34+N25</f>
        <v>0</v>
      </c>
      <c r="O36" s="18"/>
      <c r="P36" s="11"/>
      <c r="Q36" s="40">
        <f>+Q34+Q25</f>
        <v>0</v>
      </c>
      <c r="R36" s="18"/>
      <c r="S36" s="11"/>
      <c r="T36" s="40">
        <f>+T34+T25</f>
        <v>0</v>
      </c>
      <c r="U36" s="18"/>
      <c r="V36" s="11"/>
      <c r="W36" s="40">
        <f>+W34+W25</f>
        <v>0</v>
      </c>
      <c r="X36" s="18"/>
      <c r="Y36" s="11"/>
      <c r="Z36" s="40">
        <f>+Z34+Z25</f>
        <v>0</v>
      </c>
      <c r="AA36" s="46">
        <f>+AA34+AA25</f>
        <v>0</v>
      </c>
      <c r="BK36" s="68"/>
      <c r="BR36" s="68"/>
      <c r="BS36" s="68"/>
    </row>
    <row r="37" spans="1:71" x14ac:dyDescent="0.25">
      <c r="L37" s="18"/>
      <c r="M37" s="11"/>
      <c r="N37" s="38"/>
      <c r="O37" s="18"/>
      <c r="P37" s="11"/>
      <c r="Q37" s="38"/>
      <c r="R37" s="18"/>
      <c r="S37" s="11"/>
      <c r="T37" s="38"/>
      <c r="U37" s="18"/>
      <c r="V37" s="11"/>
      <c r="W37" s="38"/>
      <c r="X37" s="18"/>
      <c r="Y37" s="11"/>
      <c r="Z37" s="38"/>
      <c r="AA37" s="45"/>
      <c r="BK37" s="68"/>
      <c r="BR37" s="68"/>
      <c r="BS37" s="68"/>
    </row>
    <row r="38" spans="1:71" x14ac:dyDescent="0.25">
      <c r="A38" t="s">
        <v>43</v>
      </c>
      <c r="B38" s="7" t="s">
        <v>44</v>
      </c>
      <c r="L38" s="18"/>
      <c r="M38" s="11"/>
      <c r="N38" s="38"/>
      <c r="O38" s="18"/>
      <c r="P38" s="11"/>
      <c r="Q38" s="38"/>
      <c r="R38" s="18"/>
      <c r="S38" s="11"/>
      <c r="T38" s="38"/>
      <c r="U38" s="18"/>
      <c r="V38" s="11"/>
      <c r="W38" s="38"/>
      <c r="X38" s="18"/>
      <c r="Y38" s="11"/>
      <c r="Z38" s="38"/>
      <c r="AA38" s="45"/>
      <c r="BK38" s="68"/>
      <c r="BR38" s="68"/>
      <c r="BS38" s="68"/>
    </row>
    <row r="39" spans="1:71" x14ac:dyDescent="0.25">
      <c r="B39">
        <v>1</v>
      </c>
      <c r="C39" s="12" t="s">
        <v>92</v>
      </c>
      <c r="D39" s="13"/>
      <c r="E39" s="27" t="s">
        <v>45</v>
      </c>
      <c r="F39" s="28"/>
      <c r="G39" s="12"/>
      <c r="H39" s="13"/>
      <c r="I39" s="27"/>
      <c r="J39" s="27"/>
      <c r="K39" s="27"/>
      <c r="L39" s="53">
        <f>+VLOOKUP(O4,Award!$BM$9:$BN$24,2,FALSE)</f>
        <v>8894</v>
      </c>
      <c r="M39" s="12"/>
      <c r="N39" s="36">
        <f>+AH25</f>
        <v>0</v>
      </c>
      <c r="O39" s="24"/>
      <c r="P39" s="12"/>
      <c r="Q39" s="36">
        <f>+AI25</f>
        <v>0</v>
      </c>
      <c r="R39" s="24"/>
      <c r="S39" s="12"/>
      <c r="T39" s="36">
        <f>+AJ25</f>
        <v>0</v>
      </c>
      <c r="U39" s="24"/>
      <c r="V39" s="12"/>
      <c r="W39" s="36">
        <f>+AK25</f>
        <v>0</v>
      </c>
      <c r="X39" s="24"/>
      <c r="Y39" s="12"/>
      <c r="Z39" s="36">
        <f>+AL25</f>
        <v>0</v>
      </c>
      <c r="AA39" s="43">
        <f t="shared" ref="AA39:AA40" si="38">SUM(N39,Q39,T39,W39,Z39)</f>
        <v>0</v>
      </c>
    </row>
    <row r="40" spans="1:71" x14ac:dyDescent="0.25">
      <c r="B40">
        <v>2</v>
      </c>
      <c r="C40" s="13" t="s">
        <v>93</v>
      </c>
      <c r="D40" s="27"/>
      <c r="E40" s="27"/>
      <c r="F40" s="27"/>
      <c r="G40" s="27"/>
      <c r="H40" s="27"/>
      <c r="I40" s="27"/>
      <c r="J40" s="27"/>
      <c r="K40" s="27"/>
      <c r="L40" s="24"/>
      <c r="M40" s="12"/>
      <c r="N40" s="39">
        <f>+AH34</f>
        <v>0</v>
      </c>
      <c r="O40" s="24"/>
      <c r="P40" s="12"/>
      <c r="Q40" s="39">
        <f>+AI34</f>
        <v>0</v>
      </c>
      <c r="R40" s="24"/>
      <c r="S40" s="12"/>
      <c r="T40" s="39">
        <f>+AJ34</f>
        <v>0</v>
      </c>
      <c r="U40" s="24"/>
      <c r="V40" s="12"/>
      <c r="W40" s="39">
        <f>+AK34</f>
        <v>0</v>
      </c>
      <c r="X40" s="24"/>
      <c r="Y40" s="12"/>
      <c r="Z40" s="39">
        <f>+AL34</f>
        <v>0</v>
      </c>
      <c r="AA40" s="43">
        <f t="shared" si="38"/>
        <v>0</v>
      </c>
    </row>
    <row r="41" spans="1:71" x14ac:dyDescent="0.25">
      <c r="C41" s="7" t="s">
        <v>48</v>
      </c>
      <c r="L41" s="18"/>
      <c r="M41" s="11"/>
      <c r="N41" s="40">
        <f>SUM(N39:N40)</f>
        <v>0</v>
      </c>
      <c r="O41" s="18"/>
      <c r="P41" s="11"/>
      <c r="Q41" s="40">
        <f>SUM(Q39:Q40)</f>
        <v>0</v>
      </c>
      <c r="R41" s="18"/>
      <c r="S41" s="11"/>
      <c r="T41" s="40">
        <f>SUM(T39:T40)</f>
        <v>0</v>
      </c>
      <c r="U41" s="18"/>
      <c r="V41" s="11"/>
      <c r="W41" s="40">
        <f>SUM(W39:W40)</f>
        <v>0</v>
      </c>
      <c r="X41" s="18"/>
      <c r="Y41" s="11"/>
      <c r="Z41" s="40">
        <f>SUM(Z39:Z40)</f>
        <v>0</v>
      </c>
      <c r="AA41" s="46">
        <f>SUM(AA39:AA40)</f>
        <v>0</v>
      </c>
    </row>
    <row r="42" spans="1:71" x14ac:dyDescent="0.25">
      <c r="L42" s="18"/>
      <c r="M42" s="11"/>
      <c r="N42" s="38"/>
      <c r="O42" s="18"/>
      <c r="P42" s="11"/>
      <c r="Q42" s="38"/>
      <c r="R42" s="18"/>
      <c r="S42" s="11"/>
      <c r="T42" s="38"/>
      <c r="U42" s="18"/>
      <c r="V42" s="11"/>
      <c r="W42" s="38"/>
      <c r="X42" s="18"/>
      <c r="Y42" s="11"/>
      <c r="Z42" s="38"/>
      <c r="AA42" s="45"/>
    </row>
    <row r="43" spans="1:71" x14ac:dyDescent="0.25">
      <c r="C43" s="7" t="s">
        <v>49</v>
      </c>
      <c r="L43" s="18"/>
      <c r="M43" s="11"/>
      <c r="N43" s="40">
        <f>+N41+N36</f>
        <v>0</v>
      </c>
      <c r="O43" s="18"/>
      <c r="P43" s="11"/>
      <c r="Q43" s="40">
        <f>+Q41+Q36</f>
        <v>0</v>
      </c>
      <c r="R43" s="18"/>
      <c r="S43" s="11"/>
      <c r="T43" s="40">
        <f>+T41+T36</f>
        <v>0</v>
      </c>
      <c r="U43" s="18"/>
      <c r="V43" s="11"/>
      <c r="W43" s="40">
        <f>+W41+W36</f>
        <v>0</v>
      </c>
      <c r="X43" s="18"/>
      <c r="Y43" s="11"/>
      <c r="Z43" s="40">
        <f>+Z41+Z36</f>
        <v>0</v>
      </c>
      <c r="AA43" s="46">
        <f>+AA41+AA36</f>
        <v>0</v>
      </c>
    </row>
    <row r="44" spans="1:71" x14ac:dyDescent="0.25">
      <c r="L44" s="18"/>
      <c r="M44" s="11"/>
      <c r="N44" s="38"/>
      <c r="O44" s="18"/>
      <c r="P44" s="11"/>
      <c r="Q44" s="38"/>
      <c r="R44" s="18"/>
      <c r="S44" s="11"/>
      <c r="T44" s="38"/>
      <c r="U44" s="18"/>
      <c r="V44" s="11"/>
      <c r="W44" s="38"/>
      <c r="X44" s="18"/>
      <c r="Y44" s="11"/>
      <c r="Z44" s="38"/>
      <c r="AA44" s="45"/>
    </row>
    <row r="45" spans="1:71" x14ac:dyDescent="0.25">
      <c r="A45" t="s">
        <v>50</v>
      </c>
      <c r="B45" s="7" t="s">
        <v>148</v>
      </c>
      <c r="L45" s="18"/>
      <c r="M45" s="11"/>
      <c r="N45" s="38"/>
      <c r="O45" s="18"/>
      <c r="P45" s="11"/>
      <c r="Q45" s="38"/>
      <c r="R45" s="18"/>
      <c r="S45" s="11"/>
      <c r="T45" s="38"/>
      <c r="U45" s="18"/>
      <c r="V45" s="11"/>
      <c r="W45" s="38"/>
      <c r="X45" s="18"/>
      <c r="Y45" s="11"/>
      <c r="Z45" s="38"/>
      <c r="AA45" s="45"/>
    </row>
    <row r="46" spans="1:71" x14ac:dyDescent="0.25">
      <c r="C46" s="356" t="s">
        <v>173</v>
      </c>
      <c r="D46" s="356"/>
      <c r="E46" s="356"/>
      <c r="F46" s="356"/>
      <c r="G46" s="356"/>
      <c r="H46" s="356"/>
      <c r="I46" s="356"/>
      <c r="J46" s="356"/>
      <c r="K46" s="10"/>
      <c r="L46" s="19"/>
      <c r="M46" s="20"/>
      <c r="N46" s="64">
        <v>0</v>
      </c>
      <c r="O46" s="18"/>
      <c r="P46" s="11"/>
      <c r="Q46" s="64">
        <v>0</v>
      </c>
      <c r="R46" s="18"/>
      <c r="S46" s="11"/>
      <c r="T46" s="64">
        <v>0</v>
      </c>
      <c r="U46" s="18"/>
      <c r="V46" s="11"/>
      <c r="W46" s="64">
        <v>0</v>
      </c>
      <c r="X46" s="18"/>
      <c r="Y46" s="11"/>
      <c r="Z46" s="64">
        <v>0</v>
      </c>
      <c r="AA46" s="44">
        <f t="shared" ref="AA46" si="39">SUM(N46,Q46,T46,W46,Z46)</f>
        <v>0</v>
      </c>
    </row>
    <row r="47" spans="1:71" x14ac:dyDescent="0.25">
      <c r="L47" s="18"/>
      <c r="M47" s="11"/>
      <c r="N47" s="38"/>
      <c r="O47" s="18"/>
      <c r="P47" s="11"/>
      <c r="Q47" s="38"/>
      <c r="R47" s="18"/>
      <c r="S47" s="11"/>
      <c r="T47" s="38"/>
      <c r="U47" s="18"/>
      <c r="V47" s="11"/>
      <c r="W47" s="38"/>
      <c r="X47" s="18"/>
      <c r="Y47" s="11"/>
      <c r="Z47" s="38"/>
      <c r="AA47" s="45"/>
    </row>
    <row r="48" spans="1:71" x14ac:dyDescent="0.25">
      <c r="A48" t="s">
        <v>51</v>
      </c>
      <c r="B48" s="7" t="s">
        <v>52</v>
      </c>
      <c r="L48" s="18"/>
      <c r="M48" s="11"/>
      <c r="N48" s="38"/>
      <c r="O48" s="18"/>
      <c r="P48" s="11"/>
      <c r="Q48" s="38"/>
      <c r="R48" s="18"/>
      <c r="S48" s="11"/>
      <c r="T48" s="38"/>
      <c r="U48" s="18"/>
      <c r="V48" s="11"/>
      <c r="W48" s="38"/>
      <c r="X48" s="18"/>
      <c r="Y48" s="11"/>
      <c r="Z48" s="38"/>
      <c r="AA48" s="45"/>
    </row>
    <row r="49" spans="1:27" x14ac:dyDescent="0.25">
      <c r="B49">
        <v>1</v>
      </c>
      <c r="C49" s="12" t="s">
        <v>94</v>
      </c>
      <c r="D49" s="12"/>
      <c r="E49" s="12"/>
      <c r="F49" s="12"/>
      <c r="G49" s="12"/>
      <c r="H49" s="13"/>
      <c r="I49" s="27"/>
      <c r="J49" s="27"/>
      <c r="K49" s="27"/>
      <c r="L49" s="24"/>
      <c r="M49" s="12"/>
      <c r="N49" s="63"/>
      <c r="O49" s="24"/>
      <c r="P49" s="12"/>
      <c r="Q49" s="63"/>
      <c r="R49" s="24"/>
      <c r="S49" s="12"/>
      <c r="T49" s="63">
        <v>0</v>
      </c>
      <c r="U49" s="24"/>
      <c r="V49" s="12"/>
      <c r="W49" s="63">
        <v>0</v>
      </c>
      <c r="X49" s="24"/>
      <c r="Y49" s="12"/>
      <c r="Z49" s="63">
        <v>0</v>
      </c>
      <c r="AA49" s="43">
        <f t="shared" ref="AA49:AA50" si="40">SUM(N49,Q49,T49,W49,Z49)</f>
        <v>0</v>
      </c>
    </row>
    <row r="50" spans="1:27" x14ac:dyDescent="0.25">
      <c r="B50">
        <v>2</v>
      </c>
      <c r="C50" s="12" t="s">
        <v>53</v>
      </c>
      <c r="D50" s="13"/>
      <c r="E50" s="27"/>
      <c r="F50" s="27"/>
      <c r="G50" s="27"/>
      <c r="H50" s="27"/>
      <c r="I50" s="27"/>
      <c r="J50" s="27"/>
      <c r="K50" s="27"/>
      <c r="L50" s="24"/>
      <c r="M50" s="12"/>
      <c r="N50" s="63">
        <v>0</v>
      </c>
      <c r="O50" s="24"/>
      <c r="P50" s="12"/>
      <c r="Q50" s="63">
        <v>0</v>
      </c>
      <c r="R50" s="24"/>
      <c r="S50" s="12"/>
      <c r="T50" s="63">
        <v>0</v>
      </c>
      <c r="U50" s="24"/>
      <c r="V50" s="12"/>
      <c r="W50" s="63">
        <v>0</v>
      </c>
      <c r="X50" s="24"/>
      <c r="Y50" s="12"/>
      <c r="Z50" s="63">
        <v>0</v>
      </c>
      <c r="AA50" s="43">
        <f t="shared" si="40"/>
        <v>0</v>
      </c>
    </row>
    <row r="51" spans="1:27" x14ac:dyDescent="0.25">
      <c r="C51" s="7" t="s">
        <v>54</v>
      </c>
      <c r="L51" s="18"/>
      <c r="M51" s="11"/>
      <c r="N51" s="41">
        <f>SUM(N49:N50)</f>
        <v>0</v>
      </c>
      <c r="O51" s="23"/>
      <c r="P51" s="5"/>
      <c r="Q51" s="41">
        <f>SUM(Q49:Q50)</f>
        <v>0</v>
      </c>
      <c r="R51" s="23"/>
      <c r="S51" s="5"/>
      <c r="T51" s="41">
        <f>SUM(T49:T50)</f>
        <v>0</v>
      </c>
      <c r="U51" s="23"/>
      <c r="V51" s="5"/>
      <c r="W51" s="41">
        <f>SUM(W49:W50)</f>
        <v>0</v>
      </c>
      <c r="X51" s="23"/>
      <c r="Y51" s="5"/>
      <c r="Z51" s="41">
        <f>SUM(Z49:Z50)</f>
        <v>0</v>
      </c>
      <c r="AA51" s="47">
        <f>SUM(AA49:AA50)</f>
        <v>0</v>
      </c>
    </row>
    <row r="52" spans="1:27" x14ac:dyDescent="0.25">
      <c r="L52" s="18"/>
      <c r="M52" s="11"/>
      <c r="N52" s="38"/>
      <c r="O52" s="18"/>
      <c r="P52" s="11"/>
      <c r="Q52" s="38"/>
      <c r="R52" s="18"/>
      <c r="S52" s="11"/>
      <c r="T52" s="38"/>
      <c r="U52" s="18"/>
      <c r="V52" s="11"/>
      <c r="W52" s="38"/>
      <c r="X52" s="18"/>
      <c r="Y52" s="11"/>
      <c r="Z52" s="38"/>
      <c r="AA52" s="45"/>
    </row>
    <row r="53" spans="1:27" x14ac:dyDescent="0.25">
      <c r="A53" t="s">
        <v>55</v>
      </c>
      <c r="B53" s="7" t="s">
        <v>56</v>
      </c>
      <c r="E53" t="s">
        <v>60</v>
      </c>
      <c r="L53" s="18"/>
      <c r="M53" s="11"/>
      <c r="N53" s="38"/>
      <c r="O53" s="18"/>
      <c r="P53" s="11"/>
      <c r="Q53" s="38"/>
      <c r="R53" s="18"/>
      <c r="S53" s="11"/>
      <c r="T53" s="38"/>
      <c r="U53" s="18"/>
      <c r="V53" s="11"/>
      <c r="W53" s="38"/>
      <c r="X53" s="18"/>
      <c r="Y53" s="11"/>
      <c r="Z53" s="38"/>
      <c r="AA53" s="45"/>
    </row>
    <row r="54" spans="1:27" x14ac:dyDescent="0.25">
      <c r="B54">
        <v>1</v>
      </c>
      <c r="C54" s="12" t="s">
        <v>57</v>
      </c>
      <c r="D54" s="13"/>
      <c r="E54" s="27"/>
      <c r="F54" s="27"/>
      <c r="G54" s="28"/>
      <c r="H54" s="54" t="s">
        <v>46</v>
      </c>
      <c r="I54" s="13"/>
      <c r="J54" s="27"/>
      <c r="K54" s="27"/>
      <c r="L54" s="24"/>
      <c r="M54" s="12"/>
      <c r="N54" s="63">
        <v>0</v>
      </c>
      <c r="O54" s="24"/>
      <c r="P54" s="12"/>
      <c r="Q54" s="63">
        <v>0</v>
      </c>
      <c r="R54" s="24"/>
      <c r="S54" s="12"/>
      <c r="T54" s="63">
        <v>0</v>
      </c>
      <c r="U54" s="24"/>
      <c r="V54" s="12"/>
      <c r="W54" s="63">
        <v>0</v>
      </c>
      <c r="X54" s="24"/>
      <c r="Y54" s="12"/>
      <c r="Z54" s="63">
        <v>0</v>
      </c>
      <c r="AA54" s="43">
        <f t="shared" ref="AA54:AA57" si="41">SUM(N54,Q54,T54,W54,Z54)</f>
        <v>0</v>
      </c>
    </row>
    <row r="55" spans="1:27" x14ac:dyDescent="0.25">
      <c r="B55">
        <v>2</v>
      </c>
      <c r="C55" s="13" t="s">
        <v>52</v>
      </c>
      <c r="D55" s="27"/>
      <c r="E55" s="27"/>
      <c r="F55" s="27"/>
      <c r="G55" s="28"/>
      <c r="H55" s="54" t="s">
        <v>46</v>
      </c>
      <c r="I55" s="13"/>
      <c r="J55" s="27"/>
      <c r="K55" s="27"/>
      <c r="L55" s="24"/>
      <c r="M55" s="12"/>
      <c r="N55" s="63">
        <v>0</v>
      </c>
      <c r="O55" s="24"/>
      <c r="P55" s="12"/>
      <c r="Q55" s="63">
        <v>0</v>
      </c>
      <c r="R55" s="24"/>
      <c r="S55" s="12"/>
      <c r="T55" s="63">
        <v>0</v>
      </c>
      <c r="U55" s="24"/>
      <c r="V55" s="12"/>
      <c r="W55" s="63">
        <v>0</v>
      </c>
      <c r="X55" s="24"/>
      <c r="Y55" s="12"/>
      <c r="Z55" s="63">
        <v>0</v>
      </c>
      <c r="AA55" s="43">
        <f t="shared" si="41"/>
        <v>0</v>
      </c>
    </row>
    <row r="56" spans="1:27" x14ac:dyDescent="0.25">
      <c r="B56">
        <v>3</v>
      </c>
      <c r="C56" s="12" t="s">
        <v>58</v>
      </c>
      <c r="D56" s="13"/>
      <c r="E56" s="27"/>
      <c r="F56" s="27"/>
      <c r="G56" s="28"/>
      <c r="H56" s="54" t="s">
        <v>46</v>
      </c>
      <c r="I56" s="13"/>
      <c r="J56" s="27"/>
      <c r="K56" s="27"/>
      <c r="L56" s="24"/>
      <c r="M56" s="12"/>
      <c r="N56" s="63">
        <v>0</v>
      </c>
      <c r="O56" s="24"/>
      <c r="P56" s="12"/>
      <c r="Q56" s="63">
        <v>0</v>
      </c>
      <c r="R56" s="24"/>
      <c r="S56" s="12"/>
      <c r="T56" s="63">
        <v>0</v>
      </c>
      <c r="U56" s="24"/>
      <c r="V56" s="12"/>
      <c r="W56" s="63">
        <v>0</v>
      </c>
      <c r="X56" s="24"/>
      <c r="Y56" s="12"/>
      <c r="Z56" s="63">
        <v>0</v>
      </c>
      <c r="AA56" s="43">
        <f t="shared" si="41"/>
        <v>0</v>
      </c>
    </row>
    <row r="57" spans="1:27" x14ac:dyDescent="0.25">
      <c r="B57">
        <v>4</v>
      </c>
      <c r="C57" s="98" t="s">
        <v>102</v>
      </c>
      <c r="D57" s="98"/>
      <c r="E57" s="27"/>
      <c r="F57" s="27"/>
      <c r="G57" s="28"/>
      <c r="H57" s="54" t="s">
        <v>46</v>
      </c>
      <c r="I57" s="13"/>
      <c r="J57" s="27"/>
      <c r="K57" s="27"/>
      <c r="L57" s="24"/>
      <c r="M57" s="12"/>
      <c r="N57" s="63">
        <v>0</v>
      </c>
      <c r="O57" s="24"/>
      <c r="P57" s="12"/>
      <c r="Q57" s="63">
        <v>0</v>
      </c>
      <c r="R57" s="24"/>
      <c r="S57" s="12"/>
      <c r="T57" s="63">
        <v>0</v>
      </c>
      <c r="U57" s="24"/>
      <c r="V57" s="12"/>
      <c r="W57" s="63">
        <v>0</v>
      </c>
      <c r="X57" s="24"/>
      <c r="Y57" s="12"/>
      <c r="Z57" s="63">
        <v>0</v>
      </c>
      <c r="AA57" s="43">
        <f t="shared" si="41"/>
        <v>0</v>
      </c>
    </row>
    <row r="58" spans="1:27" x14ac:dyDescent="0.25">
      <c r="C58" s="65"/>
      <c r="D58" t="s">
        <v>61</v>
      </c>
      <c r="L58" s="18"/>
      <c r="M58" s="11"/>
      <c r="N58" s="41">
        <f>SUM(N54:N57)</f>
        <v>0</v>
      </c>
      <c r="O58" s="23"/>
      <c r="P58" s="5"/>
      <c r="Q58" s="41">
        <f>SUM(Q54:Q57)</f>
        <v>0</v>
      </c>
      <c r="R58" s="23"/>
      <c r="S58" s="5"/>
      <c r="T58" s="41">
        <f>SUM(T54:T57)</f>
        <v>0</v>
      </c>
      <c r="U58" s="23"/>
      <c r="V58" s="5"/>
      <c r="W58" s="41">
        <f>SUM(W54:W57)</f>
        <v>0</v>
      </c>
      <c r="X58" s="23"/>
      <c r="Y58" s="5"/>
      <c r="Z58" s="41">
        <f>SUM(Z54:Z57)</f>
        <v>0</v>
      </c>
      <c r="AA58" s="47">
        <f>SUM(AA54:AA57)</f>
        <v>0</v>
      </c>
    </row>
    <row r="59" spans="1:27" x14ac:dyDescent="0.25">
      <c r="L59" s="18"/>
      <c r="M59" s="11"/>
      <c r="N59" s="38"/>
      <c r="O59" s="18"/>
      <c r="P59" s="11"/>
      <c r="Q59" s="38"/>
      <c r="R59" s="18"/>
      <c r="S59" s="11"/>
      <c r="T59" s="38"/>
      <c r="U59" s="18"/>
      <c r="V59" s="11"/>
      <c r="W59" s="38"/>
      <c r="X59" s="18"/>
      <c r="Y59" s="11"/>
      <c r="Z59" s="38"/>
      <c r="AA59" s="45"/>
    </row>
    <row r="60" spans="1:27" x14ac:dyDescent="0.25">
      <c r="A60" t="s">
        <v>62</v>
      </c>
      <c r="B60" s="7" t="s">
        <v>63</v>
      </c>
      <c r="L60" s="18"/>
      <c r="M60" s="11"/>
      <c r="N60" s="38"/>
      <c r="O60" s="18"/>
      <c r="P60" s="11"/>
      <c r="Q60" s="38"/>
      <c r="R60" s="18"/>
      <c r="S60" s="11"/>
      <c r="T60" s="38"/>
      <c r="U60" s="18"/>
      <c r="V60" s="11"/>
      <c r="W60" s="38"/>
      <c r="X60" s="18"/>
      <c r="Y60" s="11"/>
      <c r="Z60" s="38"/>
      <c r="AA60" s="45"/>
    </row>
    <row r="61" spans="1:27" x14ac:dyDescent="0.25">
      <c r="B61">
        <v>1</v>
      </c>
      <c r="C61" s="12" t="s">
        <v>64</v>
      </c>
      <c r="D61" s="13"/>
      <c r="E61" s="27"/>
      <c r="F61" s="27"/>
      <c r="G61" s="27"/>
      <c r="H61" s="27"/>
      <c r="I61" s="27"/>
      <c r="J61" s="27"/>
      <c r="K61" s="27"/>
      <c r="L61" s="24"/>
      <c r="M61" s="12"/>
      <c r="N61" s="63"/>
      <c r="O61" s="24"/>
      <c r="P61" s="12"/>
      <c r="Q61" s="63">
        <v>0</v>
      </c>
      <c r="R61" s="24"/>
      <c r="S61" s="12"/>
      <c r="T61" s="63">
        <v>0</v>
      </c>
      <c r="U61" s="24"/>
      <c r="V61" s="12"/>
      <c r="W61" s="63">
        <v>0</v>
      </c>
      <c r="X61" s="24"/>
      <c r="Y61" s="12"/>
      <c r="Z61" s="63">
        <v>0</v>
      </c>
      <c r="AA61" s="43">
        <f t="shared" ref="AA61:AA64" si="42">SUM(N61,Q61,T61,W61,Z61)</f>
        <v>0</v>
      </c>
    </row>
    <row r="62" spans="1:27" x14ac:dyDescent="0.25">
      <c r="B62">
        <v>2</v>
      </c>
      <c r="C62" s="12" t="s">
        <v>65</v>
      </c>
      <c r="D62" s="13"/>
      <c r="E62" s="27"/>
      <c r="F62" s="27"/>
      <c r="G62" s="27"/>
      <c r="H62" s="27"/>
      <c r="I62" s="27"/>
      <c r="J62" s="27"/>
      <c r="K62" s="27"/>
      <c r="L62" s="24"/>
      <c r="M62" s="12"/>
      <c r="N62" s="63">
        <v>0</v>
      </c>
      <c r="O62" s="24"/>
      <c r="P62" s="12"/>
      <c r="Q62" s="63">
        <v>0</v>
      </c>
      <c r="R62" s="24"/>
      <c r="S62" s="12"/>
      <c r="T62" s="63">
        <v>0</v>
      </c>
      <c r="U62" s="24"/>
      <c r="V62" s="12"/>
      <c r="W62" s="63">
        <v>0</v>
      </c>
      <c r="X62" s="24"/>
      <c r="Y62" s="12"/>
      <c r="Z62" s="63">
        <v>0</v>
      </c>
      <c r="AA62" s="43">
        <f t="shared" si="42"/>
        <v>0</v>
      </c>
    </row>
    <row r="63" spans="1:27" x14ac:dyDescent="0.25">
      <c r="B63">
        <v>3</v>
      </c>
      <c r="C63" s="12" t="s">
        <v>124</v>
      </c>
      <c r="D63" s="13"/>
      <c r="E63" s="27"/>
      <c r="F63" s="27"/>
      <c r="G63" s="27"/>
      <c r="H63" s="27"/>
      <c r="I63" s="27"/>
      <c r="J63" s="27"/>
      <c r="K63" s="27"/>
      <c r="L63" s="24"/>
      <c r="M63" s="12"/>
      <c r="N63" s="63">
        <v>0</v>
      </c>
      <c r="O63" s="24"/>
      <c r="P63" s="12"/>
      <c r="Q63" s="63">
        <v>0</v>
      </c>
      <c r="R63" s="24"/>
      <c r="S63" s="12"/>
      <c r="T63" s="63">
        <v>0</v>
      </c>
      <c r="U63" s="24"/>
      <c r="V63" s="12"/>
      <c r="W63" s="63">
        <v>0</v>
      </c>
      <c r="X63" s="24"/>
      <c r="Y63" s="12"/>
      <c r="Z63" s="63">
        <v>0</v>
      </c>
      <c r="AA63" s="43">
        <f t="shared" si="42"/>
        <v>0</v>
      </c>
    </row>
    <row r="64" spans="1:27" x14ac:dyDescent="0.25">
      <c r="B64">
        <v>4</v>
      </c>
      <c r="C64" s="12" t="s">
        <v>66</v>
      </c>
      <c r="D64" s="13"/>
      <c r="E64" s="27"/>
      <c r="F64" s="27"/>
      <c r="G64" s="27"/>
      <c r="H64" s="27"/>
      <c r="I64" s="27"/>
      <c r="J64" s="27"/>
      <c r="K64" s="27"/>
      <c r="L64" s="24"/>
      <c r="M64" s="12"/>
      <c r="N64" s="63">
        <v>0</v>
      </c>
      <c r="O64" s="24"/>
      <c r="P64" s="12"/>
      <c r="Q64" s="63">
        <v>0</v>
      </c>
      <c r="R64" s="24"/>
      <c r="S64" s="12"/>
      <c r="T64" s="63">
        <v>0</v>
      </c>
      <c r="U64" s="24"/>
      <c r="V64" s="12"/>
      <c r="W64" s="63">
        <v>0</v>
      </c>
      <c r="X64" s="24"/>
      <c r="Y64" s="12"/>
      <c r="Z64" s="63">
        <v>0</v>
      </c>
      <c r="AA64" s="43">
        <f t="shared" si="42"/>
        <v>0</v>
      </c>
    </row>
    <row r="65" spans="2:27" x14ac:dyDescent="0.25">
      <c r="B65">
        <v>5</v>
      </c>
      <c r="C65" t="s">
        <v>147</v>
      </c>
      <c r="L65" s="18"/>
      <c r="M65" s="11"/>
      <c r="N65" s="38"/>
      <c r="O65" s="18"/>
      <c r="P65" s="11"/>
      <c r="Q65" s="38"/>
      <c r="R65" s="18"/>
      <c r="S65" s="11"/>
      <c r="T65" s="38"/>
      <c r="U65" s="18"/>
      <c r="V65" s="11"/>
      <c r="W65" s="38"/>
      <c r="X65" s="18"/>
      <c r="Y65" s="11"/>
      <c r="Z65" s="38"/>
      <c r="AA65" s="45"/>
    </row>
    <row r="66" spans="2:27" x14ac:dyDescent="0.25">
      <c r="C66" s="12" t="s">
        <v>67</v>
      </c>
      <c r="D66" s="353"/>
      <c r="E66" s="354"/>
      <c r="F66" s="354"/>
      <c r="G66" s="354"/>
      <c r="H66" s="354"/>
      <c r="I66" s="354"/>
      <c r="J66" s="355"/>
      <c r="K66" s="13"/>
      <c r="L66" s="24"/>
      <c r="M66" s="12"/>
      <c r="N66" s="63">
        <v>0</v>
      </c>
      <c r="O66" s="24"/>
      <c r="P66" s="12"/>
      <c r="Q66" s="63">
        <v>0</v>
      </c>
      <c r="R66" s="24"/>
      <c r="S66" s="12"/>
      <c r="T66" s="63">
        <v>0</v>
      </c>
      <c r="U66" s="24"/>
      <c r="V66" s="12"/>
      <c r="W66" s="63">
        <v>0</v>
      </c>
      <c r="X66" s="24"/>
      <c r="Y66" s="12"/>
      <c r="Z66" s="63">
        <v>0</v>
      </c>
      <c r="AA66" s="43">
        <f t="shared" ref="AA66:AA87" si="43">SUM(N66,Q66,T66,W66,Z66)</f>
        <v>0</v>
      </c>
    </row>
    <row r="67" spans="2:27" x14ac:dyDescent="0.25">
      <c r="C67" s="12" t="s">
        <v>68</v>
      </c>
      <c r="D67" s="353"/>
      <c r="E67" s="354"/>
      <c r="F67" s="354"/>
      <c r="G67" s="354"/>
      <c r="H67" s="354"/>
      <c r="I67" s="354"/>
      <c r="J67" s="355"/>
      <c r="K67" s="13"/>
      <c r="L67" s="24"/>
      <c r="M67" s="12"/>
      <c r="N67" s="63">
        <v>0</v>
      </c>
      <c r="O67" s="24"/>
      <c r="P67" s="12"/>
      <c r="Q67" s="63">
        <v>0</v>
      </c>
      <c r="R67" s="24"/>
      <c r="S67" s="12"/>
      <c r="T67" s="63">
        <v>0</v>
      </c>
      <c r="U67" s="24"/>
      <c r="V67" s="12"/>
      <c r="W67" s="63">
        <v>0</v>
      </c>
      <c r="X67" s="24"/>
      <c r="Y67" s="12"/>
      <c r="Z67" s="63">
        <v>0</v>
      </c>
      <c r="AA67" s="43">
        <f t="shared" si="43"/>
        <v>0</v>
      </c>
    </row>
    <row r="68" spans="2:27" x14ac:dyDescent="0.25">
      <c r="C68" s="12" t="s">
        <v>69</v>
      </c>
      <c r="D68" s="101"/>
      <c r="E68" s="102"/>
      <c r="F68" s="102"/>
      <c r="G68" s="102"/>
      <c r="H68" s="102"/>
      <c r="I68" s="102"/>
      <c r="J68" s="103"/>
      <c r="K68" s="13"/>
      <c r="L68" s="24"/>
      <c r="M68" s="12"/>
      <c r="N68" s="63">
        <v>0</v>
      </c>
      <c r="O68" s="24"/>
      <c r="P68" s="12"/>
      <c r="Q68" s="63">
        <v>0</v>
      </c>
      <c r="R68" s="24"/>
      <c r="S68" s="12"/>
      <c r="T68" s="63">
        <v>0</v>
      </c>
      <c r="U68" s="24"/>
      <c r="V68" s="12"/>
      <c r="W68" s="63">
        <v>0</v>
      </c>
      <c r="X68" s="24"/>
      <c r="Y68" s="12"/>
      <c r="Z68" s="63">
        <v>0</v>
      </c>
      <c r="AA68" s="43">
        <f t="shared" si="43"/>
        <v>0</v>
      </c>
    </row>
    <row r="69" spans="2:27" x14ac:dyDescent="0.25">
      <c r="C69" s="12" t="s">
        <v>70</v>
      </c>
      <c r="D69" s="101"/>
      <c r="E69" s="102"/>
      <c r="F69" s="102"/>
      <c r="G69" s="102"/>
      <c r="H69" s="102"/>
      <c r="I69" s="102"/>
      <c r="J69" s="103"/>
      <c r="K69" s="13"/>
      <c r="L69" s="24"/>
      <c r="M69" s="12"/>
      <c r="N69" s="63">
        <v>0</v>
      </c>
      <c r="O69" s="24"/>
      <c r="P69" s="12"/>
      <c r="Q69" s="63">
        <v>0</v>
      </c>
      <c r="R69" s="24"/>
      <c r="S69" s="12"/>
      <c r="T69" s="63">
        <v>0</v>
      </c>
      <c r="U69" s="24"/>
      <c r="V69" s="12"/>
      <c r="W69" s="63">
        <v>0</v>
      </c>
      <c r="X69" s="24"/>
      <c r="Y69" s="12"/>
      <c r="Z69" s="63">
        <v>0</v>
      </c>
      <c r="AA69" s="43">
        <f t="shared" si="43"/>
        <v>0</v>
      </c>
    </row>
    <row r="70" spans="2:27" ht="15" hidden="1" customHeight="1" x14ac:dyDescent="0.25">
      <c r="C70" s="12" t="s">
        <v>153</v>
      </c>
      <c r="D70" s="101"/>
      <c r="E70" s="102"/>
      <c r="F70" s="102"/>
      <c r="G70" s="102"/>
      <c r="H70" s="102"/>
      <c r="I70" s="102"/>
      <c r="J70" s="103"/>
      <c r="K70" s="13"/>
      <c r="L70" s="24"/>
      <c r="M70" s="12"/>
      <c r="N70" s="63">
        <v>0</v>
      </c>
      <c r="O70" s="24"/>
      <c r="P70" s="12"/>
      <c r="Q70" s="63">
        <v>0</v>
      </c>
      <c r="R70" s="24"/>
      <c r="S70" s="12"/>
      <c r="T70" s="63">
        <v>0</v>
      </c>
      <c r="U70" s="24"/>
      <c r="V70" s="12"/>
      <c r="W70" s="63">
        <v>0</v>
      </c>
      <c r="X70" s="24"/>
      <c r="Y70" s="12"/>
      <c r="Z70" s="63">
        <v>0</v>
      </c>
      <c r="AA70" s="43">
        <f t="shared" si="43"/>
        <v>0</v>
      </c>
    </row>
    <row r="71" spans="2:27" ht="15" hidden="1" customHeight="1" x14ac:dyDescent="0.25">
      <c r="C71" s="12" t="s">
        <v>154</v>
      </c>
      <c r="D71" s="101"/>
      <c r="E71" s="102"/>
      <c r="F71" s="102"/>
      <c r="G71" s="102"/>
      <c r="H71" s="102"/>
      <c r="I71" s="102"/>
      <c r="J71" s="103"/>
      <c r="K71" s="13"/>
      <c r="L71" s="24"/>
      <c r="M71" s="12"/>
      <c r="N71" s="63">
        <v>0</v>
      </c>
      <c r="O71" s="24"/>
      <c r="P71" s="12"/>
      <c r="Q71" s="63">
        <v>0</v>
      </c>
      <c r="R71" s="24"/>
      <c r="S71" s="12"/>
      <c r="T71" s="63">
        <v>0</v>
      </c>
      <c r="U71" s="24"/>
      <c r="V71" s="12"/>
      <c r="W71" s="63">
        <v>0</v>
      </c>
      <c r="X71" s="24"/>
      <c r="Y71" s="12"/>
      <c r="Z71" s="63">
        <v>0</v>
      </c>
      <c r="AA71" s="43">
        <f t="shared" si="43"/>
        <v>0</v>
      </c>
    </row>
    <row r="72" spans="2:27" ht="15" hidden="1" customHeight="1" x14ac:dyDescent="0.25">
      <c r="C72" s="12" t="s">
        <v>155</v>
      </c>
      <c r="D72" s="101"/>
      <c r="E72" s="102"/>
      <c r="F72" s="102"/>
      <c r="G72" s="102"/>
      <c r="H72" s="102"/>
      <c r="I72" s="102"/>
      <c r="J72" s="103"/>
      <c r="K72" s="13"/>
      <c r="L72" s="24"/>
      <c r="M72" s="12"/>
      <c r="N72" s="63">
        <v>0</v>
      </c>
      <c r="O72" s="24"/>
      <c r="P72" s="12"/>
      <c r="Q72" s="63">
        <v>0</v>
      </c>
      <c r="R72" s="24"/>
      <c r="S72" s="12"/>
      <c r="T72" s="63">
        <v>0</v>
      </c>
      <c r="U72" s="24"/>
      <c r="V72" s="12"/>
      <c r="W72" s="63">
        <v>0</v>
      </c>
      <c r="X72" s="24"/>
      <c r="Y72" s="12"/>
      <c r="Z72" s="63">
        <v>0</v>
      </c>
      <c r="AA72" s="43">
        <f t="shared" si="43"/>
        <v>0</v>
      </c>
    </row>
    <row r="73" spans="2:27" ht="15" hidden="1" customHeight="1" x14ac:dyDescent="0.25">
      <c r="C73" s="12" t="s">
        <v>156</v>
      </c>
      <c r="D73" s="101"/>
      <c r="E73" s="102"/>
      <c r="F73" s="102"/>
      <c r="G73" s="102"/>
      <c r="H73" s="102"/>
      <c r="I73" s="102"/>
      <c r="J73" s="103"/>
      <c r="K73" s="13"/>
      <c r="L73" s="24"/>
      <c r="M73" s="12"/>
      <c r="N73" s="63">
        <v>0</v>
      </c>
      <c r="O73" s="24"/>
      <c r="P73" s="12"/>
      <c r="Q73" s="63">
        <v>0</v>
      </c>
      <c r="R73" s="24"/>
      <c r="S73" s="12"/>
      <c r="T73" s="63">
        <v>0</v>
      </c>
      <c r="U73" s="24"/>
      <c r="V73" s="12"/>
      <c r="W73" s="63">
        <v>0</v>
      </c>
      <c r="X73" s="24"/>
      <c r="Y73" s="12"/>
      <c r="Z73" s="63">
        <v>0</v>
      </c>
      <c r="AA73" s="43">
        <f t="shared" si="43"/>
        <v>0</v>
      </c>
    </row>
    <row r="74" spans="2:27" ht="15" hidden="1" customHeight="1" x14ac:dyDescent="0.25">
      <c r="C74" s="12" t="s">
        <v>157</v>
      </c>
      <c r="D74" s="101"/>
      <c r="E74" s="102"/>
      <c r="F74" s="102"/>
      <c r="G74" s="102"/>
      <c r="H74" s="102"/>
      <c r="I74" s="102"/>
      <c r="J74" s="103"/>
      <c r="K74" s="13"/>
      <c r="L74" s="24"/>
      <c r="M74" s="12"/>
      <c r="N74" s="63">
        <v>0</v>
      </c>
      <c r="O74" s="24"/>
      <c r="P74" s="12"/>
      <c r="Q74" s="63">
        <v>0</v>
      </c>
      <c r="R74" s="24"/>
      <c r="S74" s="12"/>
      <c r="T74" s="63">
        <v>0</v>
      </c>
      <c r="U74" s="24"/>
      <c r="V74" s="12"/>
      <c r="W74" s="63">
        <v>0</v>
      </c>
      <c r="X74" s="24"/>
      <c r="Y74" s="12"/>
      <c r="Z74" s="63">
        <v>0</v>
      </c>
      <c r="AA74" s="43">
        <f t="shared" si="43"/>
        <v>0</v>
      </c>
    </row>
    <row r="75" spans="2:27" ht="15" hidden="1" customHeight="1" x14ac:dyDescent="0.25">
      <c r="C75" s="12" t="s">
        <v>158</v>
      </c>
      <c r="D75" s="101"/>
      <c r="E75" s="102"/>
      <c r="F75" s="102"/>
      <c r="G75" s="102"/>
      <c r="H75" s="102"/>
      <c r="I75" s="102"/>
      <c r="J75" s="103"/>
      <c r="K75" s="13"/>
      <c r="L75" s="24"/>
      <c r="M75" s="12"/>
      <c r="N75" s="63">
        <v>0</v>
      </c>
      <c r="O75" s="24"/>
      <c r="P75" s="12"/>
      <c r="Q75" s="63">
        <v>0</v>
      </c>
      <c r="R75" s="24"/>
      <c r="S75" s="12"/>
      <c r="T75" s="63">
        <v>0</v>
      </c>
      <c r="U75" s="24"/>
      <c r="V75" s="12"/>
      <c r="W75" s="63">
        <v>0</v>
      </c>
      <c r="X75" s="24"/>
      <c r="Y75" s="12"/>
      <c r="Z75" s="63">
        <v>0</v>
      </c>
      <c r="AA75" s="43">
        <f t="shared" si="43"/>
        <v>0</v>
      </c>
    </row>
    <row r="76" spans="2:27" ht="15" hidden="1" customHeight="1" x14ac:dyDescent="0.25">
      <c r="C76" s="12" t="s">
        <v>159</v>
      </c>
      <c r="D76" s="101"/>
      <c r="E76" s="102"/>
      <c r="F76" s="102"/>
      <c r="G76" s="102"/>
      <c r="H76" s="102"/>
      <c r="I76" s="102"/>
      <c r="J76" s="103"/>
      <c r="K76" s="13"/>
      <c r="L76" s="24"/>
      <c r="M76" s="12"/>
      <c r="N76" s="63">
        <v>0</v>
      </c>
      <c r="O76" s="24"/>
      <c r="P76" s="12"/>
      <c r="Q76" s="63">
        <v>0</v>
      </c>
      <c r="R76" s="24"/>
      <c r="S76" s="12"/>
      <c r="T76" s="63">
        <v>0</v>
      </c>
      <c r="U76" s="24"/>
      <c r="V76" s="12"/>
      <c r="W76" s="63">
        <v>0</v>
      </c>
      <c r="X76" s="24"/>
      <c r="Y76" s="12"/>
      <c r="Z76" s="63">
        <v>0</v>
      </c>
      <c r="AA76" s="43">
        <f t="shared" si="43"/>
        <v>0</v>
      </c>
    </row>
    <row r="77" spans="2:27" ht="15" hidden="1" customHeight="1" x14ac:dyDescent="0.25">
      <c r="C77" s="12" t="s">
        <v>160</v>
      </c>
      <c r="D77" s="101"/>
      <c r="E77" s="102"/>
      <c r="F77" s="102"/>
      <c r="G77" s="102"/>
      <c r="H77" s="102"/>
      <c r="I77" s="102"/>
      <c r="J77" s="103"/>
      <c r="K77" s="13"/>
      <c r="L77" s="24"/>
      <c r="M77" s="12"/>
      <c r="N77" s="63">
        <v>0</v>
      </c>
      <c r="O77" s="24"/>
      <c r="P77" s="12"/>
      <c r="Q77" s="63">
        <v>0</v>
      </c>
      <c r="R77" s="24"/>
      <c r="S77" s="12"/>
      <c r="T77" s="63">
        <v>0</v>
      </c>
      <c r="U77" s="24"/>
      <c r="V77" s="12"/>
      <c r="W77" s="63">
        <v>0</v>
      </c>
      <c r="X77" s="24"/>
      <c r="Y77" s="12"/>
      <c r="Z77" s="63">
        <v>0</v>
      </c>
      <c r="AA77" s="43">
        <f t="shared" si="43"/>
        <v>0</v>
      </c>
    </row>
    <row r="78" spans="2:27" ht="15" hidden="1" customHeight="1" x14ac:dyDescent="0.25">
      <c r="C78" s="12" t="s">
        <v>161</v>
      </c>
      <c r="D78" s="101"/>
      <c r="E78" s="102"/>
      <c r="F78" s="102"/>
      <c r="G78" s="102"/>
      <c r="H78" s="102"/>
      <c r="I78" s="102"/>
      <c r="J78" s="103"/>
      <c r="K78" s="13"/>
      <c r="L78" s="24"/>
      <c r="M78" s="12"/>
      <c r="N78" s="63">
        <v>0</v>
      </c>
      <c r="O78" s="24"/>
      <c r="P78" s="12"/>
      <c r="Q78" s="63">
        <v>0</v>
      </c>
      <c r="R78" s="24"/>
      <c r="S78" s="12"/>
      <c r="T78" s="63">
        <v>0</v>
      </c>
      <c r="U78" s="24"/>
      <c r="V78" s="12"/>
      <c r="W78" s="63">
        <v>0</v>
      </c>
      <c r="X78" s="24"/>
      <c r="Y78" s="12"/>
      <c r="Z78" s="63">
        <v>0</v>
      </c>
      <c r="AA78" s="43">
        <f t="shared" si="43"/>
        <v>0</v>
      </c>
    </row>
    <row r="79" spans="2:27" ht="15" hidden="1" customHeight="1" x14ac:dyDescent="0.25">
      <c r="C79" s="12" t="s">
        <v>162</v>
      </c>
      <c r="D79" s="101"/>
      <c r="E79" s="102"/>
      <c r="F79" s="102"/>
      <c r="G79" s="102"/>
      <c r="H79" s="102"/>
      <c r="I79" s="102"/>
      <c r="J79" s="103"/>
      <c r="K79" s="13"/>
      <c r="L79" s="24"/>
      <c r="M79" s="12"/>
      <c r="N79" s="63">
        <v>0</v>
      </c>
      <c r="O79" s="24"/>
      <c r="P79" s="12"/>
      <c r="Q79" s="63">
        <v>0</v>
      </c>
      <c r="R79" s="24"/>
      <c r="S79" s="12"/>
      <c r="T79" s="63">
        <v>0</v>
      </c>
      <c r="U79" s="24"/>
      <c r="V79" s="12"/>
      <c r="W79" s="63">
        <v>0</v>
      </c>
      <c r="X79" s="24"/>
      <c r="Y79" s="12"/>
      <c r="Z79" s="63">
        <v>0</v>
      </c>
      <c r="AA79" s="43">
        <f t="shared" si="43"/>
        <v>0</v>
      </c>
    </row>
    <row r="80" spans="2:27" ht="15" hidden="1" customHeight="1" x14ac:dyDescent="0.25">
      <c r="C80" s="12" t="s">
        <v>163</v>
      </c>
      <c r="D80" s="101"/>
      <c r="E80" s="102"/>
      <c r="F80" s="102"/>
      <c r="G80" s="102"/>
      <c r="H80" s="102"/>
      <c r="I80" s="102"/>
      <c r="J80" s="103"/>
      <c r="K80" s="13"/>
      <c r="L80" s="24"/>
      <c r="M80" s="12"/>
      <c r="N80" s="63">
        <v>0</v>
      </c>
      <c r="O80" s="24"/>
      <c r="P80" s="12"/>
      <c r="Q80" s="63">
        <v>0</v>
      </c>
      <c r="R80" s="24"/>
      <c r="S80" s="12"/>
      <c r="T80" s="63">
        <v>0</v>
      </c>
      <c r="U80" s="24"/>
      <c r="V80" s="12"/>
      <c r="W80" s="63">
        <v>0</v>
      </c>
      <c r="X80" s="24"/>
      <c r="Y80" s="12"/>
      <c r="Z80" s="63">
        <v>0</v>
      </c>
      <c r="AA80" s="43">
        <f t="shared" si="43"/>
        <v>0</v>
      </c>
    </row>
    <row r="81" spans="1:28" ht="15" hidden="1" customHeight="1" x14ac:dyDescent="0.25">
      <c r="C81" s="12" t="s">
        <v>164</v>
      </c>
      <c r="D81" s="101"/>
      <c r="E81" s="102"/>
      <c r="F81" s="102"/>
      <c r="G81" s="102"/>
      <c r="H81" s="102"/>
      <c r="I81" s="102"/>
      <c r="J81" s="103"/>
      <c r="K81" s="13"/>
      <c r="L81" s="24"/>
      <c r="M81" s="12"/>
      <c r="N81" s="63">
        <v>0</v>
      </c>
      <c r="O81" s="24"/>
      <c r="P81" s="12"/>
      <c r="Q81" s="63">
        <v>0</v>
      </c>
      <c r="R81" s="24"/>
      <c r="S81" s="12"/>
      <c r="T81" s="63">
        <v>0</v>
      </c>
      <c r="U81" s="24"/>
      <c r="V81" s="12"/>
      <c r="W81" s="63">
        <v>0</v>
      </c>
      <c r="X81" s="24"/>
      <c r="Y81" s="12"/>
      <c r="Z81" s="63">
        <v>0</v>
      </c>
      <c r="AA81" s="43">
        <f t="shared" si="43"/>
        <v>0</v>
      </c>
    </row>
    <row r="82" spans="1:28" ht="15" hidden="1" customHeight="1" x14ac:dyDescent="0.25">
      <c r="C82" s="12" t="s">
        <v>165</v>
      </c>
      <c r="D82" s="101"/>
      <c r="E82" s="102"/>
      <c r="F82" s="102"/>
      <c r="G82" s="102"/>
      <c r="H82" s="102"/>
      <c r="I82" s="102"/>
      <c r="J82" s="103"/>
      <c r="K82" s="13"/>
      <c r="L82" s="24"/>
      <c r="M82" s="12"/>
      <c r="N82" s="63">
        <v>0</v>
      </c>
      <c r="O82" s="24"/>
      <c r="P82" s="12"/>
      <c r="Q82" s="63">
        <v>0</v>
      </c>
      <c r="R82" s="24"/>
      <c r="S82" s="12"/>
      <c r="T82" s="63">
        <v>0</v>
      </c>
      <c r="U82" s="24"/>
      <c r="V82" s="12"/>
      <c r="W82" s="63">
        <v>0</v>
      </c>
      <c r="X82" s="24"/>
      <c r="Y82" s="12"/>
      <c r="Z82" s="63">
        <v>0</v>
      </c>
      <c r="AA82" s="43">
        <f t="shared" si="43"/>
        <v>0</v>
      </c>
    </row>
    <row r="83" spans="1:28" ht="15" hidden="1" customHeight="1" x14ac:dyDescent="0.25">
      <c r="C83" s="12" t="s">
        <v>166</v>
      </c>
      <c r="D83" s="101"/>
      <c r="E83" s="102"/>
      <c r="F83" s="102"/>
      <c r="G83" s="102"/>
      <c r="H83" s="102"/>
      <c r="I83" s="102"/>
      <c r="J83" s="103"/>
      <c r="K83" s="13"/>
      <c r="L83" s="24"/>
      <c r="M83" s="12"/>
      <c r="N83" s="63">
        <v>0</v>
      </c>
      <c r="O83" s="24"/>
      <c r="P83" s="12"/>
      <c r="Q83" s="63">
        <v>0</v>
      </c>
      <c r="R83" s="24"/>
      <c r="S83" s="12"/>
      <c r="T83" s="63">
        <v>0</v>
      </c>
      <c r="U83" s="24"/>
      <c r="V83" s="12"/>
      <c r="W83" s="63">
        <v>0</v>
      </c>
      <c r="X83" s="24"/>
      <c r="Y83" s="12"/>
      <c r="Z83" s="63">
        <v>0</v>
      </c>
      <c r="AA83" s="43">
        <f t="shared" si="43"/>
        <v>0</v>
      </c>
    </row>
    <row r="84" spans="1:28" ht="15" hidden="1" customHeight="1" x14ac:dyDescent="0.25">
      <c r="C84" s="12" t="s">
        <v>167</v>
      </c>
      <c r="D84" s="353"/>
      <c r="E84" s="354"/>
      <c r="F84" s="354"/>
      <c r="G84" s="354"/>
      <c r="H84" s="354"/>
      <c r="I84" s="354"/>
      <c r="J84" s="355"/>
      <c r="K84" s="13"/>
      <c r="L84" s="24"/>
      <c r="M84" s="12"/>
      <c r="N84" s="63">
        <v>0</v>
      </c>
      <c r="O84" s="24"/>
      <c r="P84" s="12"/>
      <c r="Q84" s="63">
        <v>0</v>
      </c>
      <c r="R84" s="24"/>
      <c r="S84" s="12"/>
      <c r="T84" s="63">
        <v>0</v>
      </c>
      <c r="U84" s="24"/>
      <c r="V84" s="12"/>
      <c r="W84" s="63">
        <v>0</v>
      </c>
      <c r="X84" s="24"/>
      <c r="Y84" s="12"/>
      <c r="Z84" s="63">
        <v>0</v>
      </c>
      <c r="AA84" s="43">
        <f t="shared" si="43"/>
        <v>0</v>
      </c>
    </row>
    <row r="85" spans="1:28" ht="15" hidden="1" customHeight="1" x14ac:dyDescent="0.25">
      <c r="C85" s="12" t="s">
        <v>168</v>
      </c>
      <c r="D85" s="353"/>
      <c r="E85" s="354"/>
      <c r="F85" s="354"/>
      <c r="G85" s="354"/>
      <c r="H85" s="354"/>
      <c r="I85" s="354"/>
      <c r="J85" s="355"/>
      <c r="K85" s="13"/>
      <c r="L85" s="24"/>
      <c r="M85" s="12"/>
      <c r="N85" s="63">
        <v>0</v>
      </c>
      <c r="O85" s="24"/>
      <c r="P85" s="12"/>
      <c r="Q85" s="63">
        <v>0</v>
      </c>
      <c r="R85" s="24"/>
      <c r="S85" s="12"/>
      <c r="T85" s="63">
        <v>0</v>
      </c>
      <c r="U85" s="24"/>
      <c r="V85" s="12"/>
      <c r="W85" s="63">
        <v>0</v>
      </c>
      <c r="X85" s="24"/>
      <c r="Y85" s="12"/>
      <c r="Z85" s="63">
        <v>0</v>
      </c>
      <c r="AA85" s="43">
        <f t="shared" si="43"/>
        <v>0</v>
      </c>
    </row>
    <row r="86" spans="1:28" x14ac:dyDescent="0.25">
      <c r="B86">
        <v>6</v>
      </c>
      <c r="C86" s="12" t="s">
        <v>59</v>
      </c>
      <c r="D86" s="353"/>
      <c r="E86" s="354"/>
      <c r="F86" s="354"/>
      <c r="G86" s="354"/>
      <c r="H86" s="354"/>
      <c r="I86" s="354"/>
      <c r="J86" s="355"/>
      <c r="K86" s="13"/>
      <c r="L86" s="24"/>
      <c r="M86" s="12"/>
      <c r="N86" s="63">
        <v>0</v>
      </c>
      <c r="O86" s="24"/>
      <c r="P86" s="12"/>
      <c r="Q86" s="63">
        <v>0</v>
      </c>
      <c r="R86" s="24"/>
      <c r="S86" s="12"/>
      <c r="T86" s="63">
        <v>0</v>
      </c>
      <c r="U86" s="24"/>
      <c r="V86" s="12"/>
      <c r="W86" s="63">
        <v>0</v>
      </c>
      <c r="X86" s="24"/>
      <c r="Y86" s="12"/>
      <c r="Z86" s="63">
        <v>0</v>
      </c>
      <c r="AA86" s="43">
        <f t="shared" si="43"/>
        <v>0</v>
      </c>
    </row>
    <row r="87" spans="1:28" x14ac:dyDescent="0.25">
      <c r="B87">
        <v>7</v>
      </c>
      <c r="C87" s="12" t="s">
        <v>59</v>
      </c>
      <c r="D87" s="353"/>
      <c r="E87" s="354"/>
      <c r="F87" s="354"/>
      <c r="G87" s="354"/>
      <c r="H87" s="354"/>
      <c r="I87" s="354"/>
      <c r="J87" s="355"/>
      <c r="K87" s="13"/>
      <c r="L87" s="24"/>
      <c r="M87" s="12"/>
      <c r="N87" s="63">
        <v>0</v>
      </c>
      <c r="O87" s="24"/>
      <c r="P87" s="12"/>
      <c r="Q87" s="63">
        <v>0</v>
      </c>
      <c r="R87" s="24"/>
      <c r="S87" s="12"/>
      <c r="T87" s="63">
        <v>0</v>
      </c>
      <c r="U87" s="24"/>
      <c r="V87" s="12"/>
      <c r="W87" s="63">
        <v>0</v>
      </c>
      <c r="X87" s="24"/>
      <c r="Y87" s="12"/>
      <c r="Z87" s="63">
        <v>0</v>
      </c>
      <c r="AA87" s="43">
        <f t="shared" si="43"/>
        <v>0</v>
      </c>
    </row>
    <row r="88" spans="1:28" x14ac:dyDescent="0.25">
      <c r="C88" s="7" t="s">
        <v>71</v>
      </c>
      <c r="L88" s="18"/>
      <c r="M88" s="11"/>
      <c r="N88" s="40">
        <f>SUM(N61:N87)</f>
        <v>0</v>
      </c>
      <c r="O88" s="18"/>
      <c r="P88" s="11"/>
      <c r="Q88" s="40">
        <f>SUM(Q61:Q87)</f>
        <v>0</v>
      </c>
      <c r="R88" s="18"/>
      <c r="S88" s="11"/>
      <c r="T88" s="40">
        <f>SUM(T61:T87)</f>
        <v>0</v>
      </c>
      <c r="U88" s="18"/>
      <c r="V88" s="11"/>
      <c r="W88" s="40">
        <f>SUM(W61:W87)</f>
        <v>0</v>
      </c>
      <c r="X88" s="18"/>
      <c r="Y88" s="11"/>
      <c r="Z88" s="40">
        <f>SUM(Z61:Z87)</f>
        <v>0</v>
      </c>
      <c r="AA88" s="46">
        <f>SUM(AA61:AA87)</f>
        <v>0</v>
      </c>
    </row>
    <row r="89" spans="1:28" x14ac:dyDescent="0.25">
      <c r="L89" s="18"/>
      <c r="M89" s="11"/>
      <c r="N89" s="38"/>
      <c r="O89" s="18"/>
      <c r="P89" s="11"/>
      <c r="Q89" s="38"/>
      <c r="R89" s="18"/>
      <c r="S89" s="11"/>
      <c r="T89" s="38"/>
      <c r="U89" s="18"/>
      <c r="V89" s="11"/>
      <c r="W89" s="38"/>
      <c r="X89" s="18"/>
      <c r="Y89" s="11"/>
      <c r="Z89" s="38"/>
      <c r="AA89" s="45"/>
    </row>
    <row r="90" spans="1:28" x14ac:dyDescent="0.25">
      <c r="A90" t="s">
        <v>72</v>
      </c>
      <c r="B90" s="7" t="s">
        <v>73</v>
      </c>
      <c r="L90" s="18"/>
      <c r="M90" s="11"/>
      <c r="N90" s="40">
        <f>SUM(,N58,N51,N46,N43,N88)</f>
        <v>0</v>
      </c>
      <c r="O90" s="18"/>
      <c r="P90" s="11"/>
      <c r="Q90" s="40">
        <f>SUM(,Q58,Q51,Q46,Q43,Q88)</f>
        <v>0</v>
      </c>
      <c r="R90" s="18"/>
      <c r="S90" s="11"/>
      <c r="T90" s="40">
        <f>SUM(,T58,T51,T46,T43,T88)</f>
        <v>0</v>
      </c>
      <c r="U90" s="18"/>
      <c r="V90" s="11"/>
      <c r="W90" s="40">
        <f>SUM(,W58,W51,W46,W43,W88)</f>
        <v>0</v>
      </c>
      <c r="X90" s="18"/>
      <c r="Y90" s="11"/>
      <c r="Z90" s="40">
        <f>SUM(,Z58,Z51,Z46,Z43,Z88)</f>
        <v>0</v>
      </c>
      <c r="AA90" s="46">
        <f>SUM(AA58,AA51,AA46,AA43,AA88)</f>
        <v>0</v>
      </c>
    </row>
    <row r="91" spans="1:28" x14ac:dyDescent="0.25">
      <c r="L91" s="18"/>
      <c r="M91" s="11"/>
      <c r="N91" s="38"/>
      <c r="O91" s="18"/>
      <c r="P91" s="11"/>
      <c r="Q91" s="38"/>
      <c r="R91" s="18"/>
      <c r="S91" s="11"/>
      <c r="T91" s="38"/>
      <c r="U91" s="18"/>
      <c r="V91" s="11"/>
      <c r="W91" s="38"/>
      <c r="X91" s="18"/>
      <c r="Y91" s="11"/>
      <c r="Z91" s="38"/>
      <c r="AA91" s="45"/>
    </row>
    <row r="92" spans="1:28" x14ac:dyDescent="0.25">
      <c r="A92" t="s">
        <v>74</v>
      </c>
      <c r="B92" s="7" t="s">
        <v>86</v>
      </c>
      <c r="L92" s="18"/>
      <c r="M92" s="11" t="s">
        <v>87</v>
      </c>
      <c r="N92" s="38"/>
      <c r="O92" s="18"/>
      <c r="P92" s="11" t="s">
        <v>87</v>
      </c>
      <c r="Q92" s="38"/>
      <c r="R92" s="18"/>
      <c r="S92" s="11" t="s">
        <v>87</v>
      </c>
      <c r="T92" s="38"/>
      <c r="U92" s="18"/>
      <c r="V92" s="11" t="s">
        <v>87</v>
      </c>
      <c r="W92" s="38"/>
      <c r="X92" s="18"/>
      <c r="Y92" s="11" t="s">
        <v>87</v>
      </c>
      <c r="Z92" s="38"/>
      <c r="AA92" s="45"/>
      <c r="AB92" s="195"/>
    </row>
    <row r="93" spans="1:28" x14ac:dyDescent="0.25">
      <c r="C93" t="s">
        <v>75</v>
      </c>
      <c r="H93" s="66">
        <v>0.46</v>
      </c>
      <c r="L93" s="18"/>
      <c r="M93" s="51">
        <f>+IF($H$93&gt;0,N90-N46-N86-IF($H$54="Y",N54,0)-IF($H$55="Y",N55,0)-IF($H$56="Y",N56,0)-IF($H$57="Y",N57,0)-IF(N66&gt;25000,N66-25000,0)-IF(N67&gt;25000,N67-25000,0)-IF(N68&gt;25000,N68-25000,0)-IF(N69&gt;25000,N69-25000,0)-IF(N70&gt;25000,N70-25000,0)-IF(N71&gt;25000,N71-25000,0)-IF(N72&gt;25000,N72-25000,0)-IF(N73&gt;25000,N73-25000,0)-IF(N74&gt;25000,N74-25000,0)-IF(N75&gt;25000,N75-25000,0)-IF(N76&gt;25000,N76-25000,0)-IF(N77&gt;25000,N77-25000,0)-IF(N78&gt;25000,N78-25000,0)-IF(N79&gt;25000,N79-25000,0)-IF(N80&gt;25000,N80-25000,0)-IF(N81&gt;25000,N81-25000,0)-IF(N82&gt;25000,N82-25000,0)-IF(N83&gt;25000,N83-25000,0)-IF(N84&gt;25000,N84-25000,0)-IF(N85&gt;25000,N85-25000,0),0)</f>
        <v>0</v>
      </c>
      <c r="N93" s="40">
        <f>+IF(H93&gt;0,M93*H93,0)</f>
        <v>0</v>
      </c>
      <c r="O93" s="18"/>
      <c r="P93" s="51">
        <f>IF($S$4&gt;1,IF(H93&gt;0,+Q90-Q46-Q86-IF($H$54="Y",Q54,0)-IF($H$55="Y",Q55,0)-IF($H$56="Y",Q56,0)-IF($H$57="Y",Q57,0)-IF(N66&gt;25000,Q66,IF(N66+Q66&gt;25000,(N66+Q66)-25000,0))-IF(N67&gt;25000,Q67,IF(N67+Q67&gt;25000,(N67+Q67)-25000,0))-IF(N68&gt;25000,Q68,IF(N68+Q68&gt;25000,(N68+Q68)-25000,0))-IF(N69&gt;25000,Q69,IF(N69+Q69&gt;25000,(N69+Q69)-25000,0))-IF(N70&gt;25000,Q70,IF(N70+Q70&gt;25000,(N70+Q70)-25000,0))-IF(N71&gt;25000,Q71,IF(N71+Q71&gt;25000,(N71+Q71)-25000,0))-IF(N72&gt;25000,Q72,IF(N72+Q72&gt;25000,(N72+Q72)-25000,0))-IF(N73&gt;25000,Q73,IF(N73+Q73&gt;25000,(N73+Q73)-25000,0))-IF(N74&gt;25000,Q74,IF(N74+Q74&gt;25000,(N74+Q74)-25000,0))-IF(N75&gt;25000,Q75,IF(N75+Q75&gt;25000,(N75+Q75)-25000,0))-IF(N76&gt;25000,Q76,IF(N76+Q76&gt;25000,(N76+Q76)-25000,0))-IF(N77&gt;25000,Q77,IF(N77+Q77&gt;25000,(N77+Q77)-25000,0))-IF(N78&gt;25000,Q78,IF(N78+Q78&gt;25000,(N78+Q78)-25000,0))-IF(N79&gt;25000,Q79,IF(N79+Q79&gt;25000,(N79+Q79)-25000,0))-IF(N80&gt;25000,Q80,IF(N80+Q80&gt;25000,(N80+Q80)-25000,0))-IF(N81&gt;25000,Q81,IF(N81+Q81&gt;25000,(N81+Q81)-25000,0))-IF(N84&gt;25000,Q84,IF(N82+Q82&gt;25000,(N82+Q82)-25000,0))-IF(N83&gt;25000,Q83,IF(N83+Q83&gt;25000,(N83+Q83)-25000,0))-IF(N84&gt;25000,Q84,IF(N84+Q84&gt;25000,(N84+Q84)-25000,0))-IF(N85&gt;25000,Q85,IF(N85+Q85&gt;25000,(N85+Q85)-25000,0)),0),0)</f>
        <v>0</v>
      </c>
      <c r="Q93" s="40">
        <f>+IF($S$4&gt;1,IF($H$93&gt;0,P93*$H$93,0),0)</f>
        <v>0</v>
      </c>
      <c r="R93" s="18"/>
      <c r="S93" s="51">
        <f>IF($S$4&gt;2,IF(H93&gt;0,+T90-T46-T86-IF($H$54="Y",T54,0)-IF($H$55="Y",T55,0)-IF($H$56="Y",T56,0)-IF($H$57="Y",T57,0)-IF(N66+Q66&gt;25000,T66,IF(N66+Q66+T66&gt;25000,(N66+Q66+T66)-25000,0))-IF(N67+Q67&gt;25000,T67,IF(N67+Q67+T67&gt;25000,(N67+Q67+T67)-25000,0))-IF(N68+Q68&gt;25000,T68,IF(N68+Q68+T68&gt;25000,(N68+Q68+T68)-25000,0))-IF(N69+Q69&gt;25000,T69,IF(N69+Q69+T69&gt;25000,(N69+Q69+T69)-25000,0))-IF(N70+Q70&gt;25000,T70,IF(N70+Q70+T70&gt;25000,(N70+Q70+T70)-25000,0))-IF(N71+Q71&gt;25000,T71,IF(N71+Q71+T71&gt;25000,(N71+Q71+T71)-25000,0))-IF(N72+Q72&gt;25000,T72,IF(N72+Q72+T72&gt;25000,(N72+Q72+T72)-25000,0))-IF(N73+Q73&gt;25000,T73,IF(N73+Q73+T73&gt;25000,(N73+Q73+T73)-25000,0))-IF(N74+Q74&gt;25000,T74,IF(N74+Q74+T74&gt;25000,(N74+Q74+T74)-25000,0))-IF(N84+Q84&gt;25000,T84,IF(N75+Q75+T75&gt;25000,(N75+Q75+T75)-25000,0))-IF(N76+Q76&gt;25000,T76,IF(N76+Q76+T76&gt;25000,(N76+Q76+T76)-25000,0))-IF(N77+Q77&gt;25000,T77,IF(N77+Q77+T77&gt;25000,(N77+Q77+T77)-25000,0))-IF(N78+Q78&gt;25000,T78,IF(N78+Q78+T78&gt;25000,(N78+Q78+T78)-25000,0))-IF(N79+Q79&gt;25000,T79,IF(N79+Q79+T79&gt;25000,(N79+Q79+T79)-25000,0))-IF(N80+Q80&gt;25000,T80,IF(N80+Q80+T80&gt;25000,(N80+Q80+T80)-25000,0))-IF(N82+Q82&gt;25000,T82,IF(N82+Q82+T82&gt;25000,(N82+Q82+T82)-25000,0))-IF(N83+Q83&gt;25000,T83,IF(N83+Q83+T83&gt;25000,(N83+Q83+T83)-25000,0))-IF(N84+Q84&gt;25000,T84,IF(N84+Q84+T84&gt;25000,(N84+Q84+T84)-25000,0))-IF(N85+Q85&gt;25000,T85,IF(N85+Q85+T85&gt;25000,(N85+Q85+T85)-25000,0)),0),0)</f>
        <v>0</v>
      </c>
      <c r="T93" s="40">
        <f>+IF($S$4&gt;1,IF($H$93&gt;0,S93*$H$93,0),0)</f>
        <v>0</v>
      </c>
      <c r="U93" s="18"/>
      <c r="V93" s="51">
        <f>IF($S$4&gt;3,IF(H93&gt;0,+W90-W46-W86-IF($H$54="Y",W54,0)-IF($H$55="Y",W55,0)-IF($H$56="Y",W56,0)-IF($H$57="Y",W57,0)-IF(+N66+Q66+T66&gt;25000,W66,IF(+N66+Q66+T66+W66&gt;25000,(+N66+Q66+T66+W66)-25000,0))-IF(+N67+Q67+T67&gt;25000,W67,IF(+N67+Q67+T67+W67&gt;25000,(+N67+Q67+T67+W67)-25000,0))-IF(+N68+Q68+T68&gt;25000,W68,IF(N68+Q68+T68+W68&gt;25000,(N68+Q68+T68+W68)-25000,0))-IF(+N84+Q84+T84&gt;25000,W84,IF(N84+Q84+T84+W84&gt;25000,(N84+Q84+T84+W84)-25000,0))-IF(+N69+Q69+T69&gt;25000,W69,IF(N69+Q69+T69+W69&gt;25000,(N69+Q69+T69+W69)-25000,0))-IF(+N70+Q70+T70&gt;25000,W70,IF(N70+Q70+T70+W70&gt;25000,(N70+Q70+T70+W70)-25000,0))-IF(+N71+Q71+T71&gt;25000,W71,IF(N71+Q71+T71+W71&gt;25000,(N71+Q71+T71+W71)-25000,0))-IF(+N84+Q84+T84&gt;25000,W84,IF(N72+Q72+T72+W72&gt;25000,(N72+Q72+T72+W72)-25000,0))-IF(+N73+Q73+T73&gt;25000,W73,IF(N73+Q73+T73+W73&gt;25000,(N73+Q73+T73+W73)-25000,0))-IF(+N74+Q74+T74&gt;25000,W74,IF(N74+Q74+T74+W74&gt;25000,(N74+Q74+T74+W74)-25000,0))-IF(+N75+Q75+T75&gt;25000,W75,IF(N75+Q75+T75+W75&gt;25000,(N75+Q75+T75+W75)-25000,0))-IF(+N74+Q74+T74&gt;25000,W74,IF(N76+Q76+T76+W76&gt;25000,(N76+Q76+T76+W76)-25000,0))-IF(+N77+Q77+T77&gt;25000,W77,IF(N77+Q77+T77+W77&gt;25000,(N77+Q77+T77+W77)-25000,0))-IF(+N78+Q78+T78&gt;25000,W78,IF(N78+Q78+T78+W78&gt;25000,(N78+Q78+T78+W78)-25000,0))-IF(+N79+Q79+T79&gt;25000,W79,IF(N79+Q79+T79+W79&gt;25000,(N79+Q79+T79+W79)-25000,0))-IF(+N80+Q80+T80&gt;25000,W80,IF(N80+Q80+T80+W80&gt;25000,(N80+Q80+T80+W80)-25000,0))-IF(+N81+Q81+T81&gt;25000,W81,IF(N81+Q81+T81+W81&gt;25000,(N81+Q81+T81+W81)-25000,0))-IF(+N82+Q82+T82&gt;25000,W82,IF(N82+Q82+T82+W82&gt;25000,(N82+Q82+T82+W82)-25000,0))-IF(+N83+Q83+T83&gt;25000,W83,IF(N83+Q83+T83+W83&gt;25000,(N83+Q83+T83+W83)-25000,0))-IF(N85+Q85+T85&gt;25000,W85,IF(N85+Q85+T85+W85&gt;25000,(N85+Q85+T85+W85)-25000,0)),0),0)</f>
        <v>0</v>
      </c>
      <c r="W93" s="40">
        <f>+IF($S$4&gt;1,IF($H$93&gt;0,V93*$H$93,0),0)</f>
        <v>0</v>
      </c>
      <c r="X93" s="18"/>
      <c r="Y93" s="51">
        <f>IF($S$4&gt;4,IF(N93&gt;0,+Z90-Z46-Z86-IF($H$54="Y",Z54,0)-IF($H$55="Y",Z55,0)-IF($H$56="Y",Z56,0)-IF($H$57="Y",Z57,0)-IF(N66+Q66+T66+W66&gt;25000,Z66,IF(N66+Q66+T66+W66+Z66&gt;25000,(N66+Q66+T66+W66+Z66)-25000,0))-IF(N67+Q67+T67+W67&gt;25000,Z67,IF(N67+Q67+T67+W67+Z67&gt;25000,(N67+Q67+T67+W67+Z67)-25000,0))-IF(N68+Q68+T68+W68&gt;25000,Z68,IF(N68+Q68+T68+W68+Z68&gt;25000,(N68+Q68+T68+W68+Z68)-25000,0))-IF(N69+Q69+T69+W69&gt;25000,Z69,IF(N69+Q69+T69+W69+Z69&gt;25000,(N69+Q69+T69+W69+Z69)-25000,0))-IF(N70+Q70+T70+W70&gt;25000,Z70,IF(N70+Q70+T70+W70+Z70&gt;25000,(N70+Q70+T70+W70+Z70)-25000,0))-IF(N71+Q71+T71+W71&gt;25000,Z71,IF(N71+Q71+T71+W71+Z71&gt;25000,(N71+Q71+T71+W71+Z71)-25000,0))-IF(N72+Q72+T72+W72&gt;25000,Z72,IF(N72+Q72+T72+W72+Z72&gt;25000,(N72+Q72+T72+W72+Z72)-25000,0))-IF(N73+Q73+T73+W73&gt;25000,Z73,IF(N73+Q73+T73+W73+Z73&gt;25000,(N73+Q73+T73+W73+Z73)-25000,0))-IF(N74+Q74+T74+W74&gt;25000,Z74,IF(N74+Q74+T74+W74+Z74&gt;25000,(N74+Q74+T74+W74+Z74)-25000,0))-IF(N75+Q75+T75+W75&gt;25000,Z75,IF(N75+Q75+T75+W75+Z75&gt;25000,(N75+Q75+T75+W75+Z75)-25000,0))-IF(N76+Q76+T76+W76&gt;25000,Z76,IF(N76+Q76+T76+W76+Z76&gt;25000,(N76+Q76+T76+W76+Z76)-25000,0))-IF(N77+Q77+T77+W77&gt;25000,Z77,IF(N77+Q77+T77+W77+Z77&gt;25000,(N77+Q77+T77+W77+Z77)-25000,0))-IF(N78+Q78+T78+W78&gt;25000,Z78,IF(N78+Q78+T78+W78+Z78&gt;25000,(N78+Q78+T78+W78+Z78)-25000,0))-IF(N79+Q79+T79+W79&gt;25000,Z79,IF(N79+Q79+T79+W79+Z79&gt;25000,(N79+Q79+T79+W79+Z79)-25000,0))-IF(N80+Q80+T80+W80&gt;25000,Z80,IF(N80+Q80+T80+W80+Z80&gt;25000,(N80+Q80+T80+W80+Z80)-25000,0))-IF(N81+Q81+T81+W81&gt;25000,Z81,IF(N81+Q81+T81+W81+Z81&gt;25000,(N81+Q81+T81+W81+Z81)-25000,0))-IF(N82+Q82+T82+W82&gt;25000,Z82,IF(N82+Q82+T82+W82+Z82&gt;25000,(N82+Q82+T82+W82+Z82)-25000,0))-IF(N83+Q83+T83+W83&gt;25000,Z83,IF(N83+Q83+T83+W83+Z83&gt;25000,(N83+Q83+T83+W83+Z83)-25000,0))-IF(N84+Q84+T84+W84&gt;25000,Z84,IF(N84+Q84+T84+W84+Z84&gt;25000,(N84+Q84+T84+W84+Z84)-25000,0))-IF(N85+Q85+T85+W85&gt;25000,Z85,IF(N85+Q85+T85+W85+Z85&gt;25000,(N85+Q85+T85+W85+Z85)-25000,0)),0),0)</f>
        <v>0</v>
      </c>
      <c r="Z93" s="40">
        <f>+IF($S$4&gt;1,IF($H$93&gt;0,Y93*$H$93,0),0)</f>
        <v>0</v>
      </c>
      <c r="AA93" s="44">
        <f t="shared" ref="AA93:AA98" si="44">SUM(N93,Q93,T93,W93,Z93)</f>
        <v>0</v>
      </c>
      <c r="AB93" s="50"/>
    </row>
    <row r="94" spans="1:28" x14ac:dyDescent="0.25">
      <c r="D94" t="s">
        <v>76</v>
      </c>
      <c r="H94" s="66"/>
      <c r="L94" s="18"/>
      <c r="M94" s="11"/>
      <c r="N94" s="37">
        <f>+IF(H94&gt;0,N90*$H$94,0)</f>
        <v>0</v>
      </c>
      <c r="O94" s="18"/>
      <c r="P94" s="11"/>
      <c r="Q94" s="37">
        <f>IF(S4&gt;1,IF(H94&gt;0,Q90*$H$94,0),0)</f>
        <v>0</v>
      </c>
      <c r="R94" s="18"/>
      <c r="S94" s="11"/>
      <c r="T94" s="37">
        <f>+IF(S4&gt;2,IF(H94&gt;0,T90*$H$94,0),0)</f>
        <v>0</v>
      </c>
      <c r="U94" s="18"/>
      <c r="V94" s="11"/>
      <c r="W94" s="37">
        <f>+IF(S4&gt;3,IF(H94&gt;0,W90*$H$94,0),0)</f>
        <v>0</v>
      </c>
      <c r="X94" s="18"/>
      <c r="Y94" s="11"/>
      <c r="Z94" s="37">
        <f>+IF(S4&gt;4,IF(H94&gt;0,Z90*$H$94,0),0)</f>
        <v>0</v>
      </c>
      <c r="AA94" s="44">
        <f t="shared" si="44"/>
        <v>0</v>
      </c>
    </row>
    <row r="95" spans="1:28" x14ac:dyDescent="0.25">
      <c r="D95" t="s">
        <v>169</v>
      </c>
      <c r="H95" s="99">
        <v>0.46</v>
      </c>
      <c r="L95" s="18"/>
      <c r="M95" s="11"/>
      <c r="N95" s="63">
        <f>(Award!N98-Award!N86)*0.46</f>
        <v>0</v>
      </c>
      <c r="O95" s="18"/>
      <c r="P95" s="11"/>
      <c r="Q95" s="63">
        <f>(Award!Q98-Award!Q86)*0.46</f>
        <v>0</v>
      </c>
      <c r="R95" s="18"/>
      <c r="S95" s="11"/>
      <c r="T95" s="63">
        <f>(Award!T98-Award!T86)*0.46</f>
        <v>0</v>
      </c>
      <c r="U95" s="18"/>
      <c r="V95" s="11"/>
      <c r="W95" s="63">
        <v>0</v>
      </c>
      <c r="X95" s="18"/>
      <c r="Y95" s="11"/>
      <c r="Z95" s="63">
        <v>0</v>
      </c>
      <c r="AA95" s="44">
        <f t="shared" si="44"/>
        <v>0</v>
      </c>
    </row>
    <row r="96" spans="1:28" x14ac:dyDescent="0.25">
      <c r="C96" s="7" t="s">
        <v>77</v>
      </c>
      <c r="F96" s="7" t="s">
        <v>324</v>
      </c>
      <c r="L96" s="18"/>
      <c r="M96" s="11"/>
      <c r="N96" s="88">
        <f>SUM(N93:N95)</f>
        <v>0</v>
      </c>
      <c r="O96" s="18"/>
      <c r="P96" s="11"/>
      <c r="Q96" s="88">
        <f>SUM(Q93:Q95)</f>
        <v>0</v>
      </c>
      <c r="R96" s="18"/>
      <c r="S96" s="11"/>
      <c r="T96" s="88">
        <f>SUM(T93:T95)</f>
        <v>0</v>
      </c>
      <c r="U96" s="18"/>
      <c r="V96" s="11"/>
      <c r="W96" s="88">
        <f>SUM(W93:W95)</f>
        <v>0</v>
      </c>
      <c r="X96" s="18"/>
      <c r="Y96" s="11"/>
      <c r="Z96" s="88">
        <f>SUM(Z93:Z95)</f>
        <v>0</v>
      </c>
      <c r="AA96" s="88">
        <f t="shared" si="44"/>
        <v>0</v>
      </c>
    </row>
    <row r="97" spans="1:27" x14ac:dyDescent="0.25">
      <c r="L97" s="18"/>
      <c r="M97" s="11"/>
      <c r="N97" s="38"/>
      <c r="O97" s="18"/>
      <c r="P97" s="11"/>
      <c r="Q97" s="38"/>
      <c r="R97" s="18"/>
      <c r="S97" s="11"/>
      <c r="T97" s="38"/>
      <c r="U97" s="18"/>
      <c r="V97" s="11"/>
      <c r="W97" s="38"/>
      <c r="X97" s="18"/>
      <c r="Y97" s="11"/>
      <c r="Z97" s="38"/>
      <c r="AA97" s="45"/>
    </row>
    <row r="98" spans="1:27" ht="15.75" thickBot="1" x14ac:dyDescent="0.3">
      <c r="A98" t="s">
        <v>78</v>
      </c>
      <c r="B98" s="7" t="s">
        <v>79</v>
      </c>
      <c r="L98" s="21"/>
      <c r="M98" s="22"/>
      <c r="N98" s="42">
        <f>SUM(N90,N96)</f>
        <v>0</v>
      </c>
      <c r="O98" s="21"/>
      <c r="P98" s="22"/>
      <c r="Q98" s="42">
        <f>IF(S4&gt;1,SUM(Q90,Q96),0)</f>
        <v>0</v>
      </c>
      <c r="R98" s="21"/>
      <c r="S98" s="22"/>
      <c r="T98" s="42">
        <f>IF(S4&gt;2,SUM(T90,T96),0)</f>
        <v>0</v>
      </c>
      <c r="U98" s="21"/>
      <c r="V98" s="22"/>
      <c r="W98" s="42">
        <f>IF(S4&gt;3,SUM(W90,W96),0)</f>
        <v>0</v>
      </c>
      <c r="X98" s="21"/>
      <c r="Y98" s="22"/>
      <c r="Z98" s="42">
        <f>IF(S4&gt;4,SUM(Z90,Z96),0)</f>
        <v>0</v>
      </c>
      <c r="AA98" s="49">
        <f t="shared" si="44"/>
        <v>0</v>
      </c>
    </row>
    <row r="100" spans="1:27" x14ac:dyDescent="0.25">
      <c r="D100" s="7" t="s">
        <v>277</v>
      </c>
      <c r="Z100" t="s">
        <v>171</v>
      </c>
      <c r="AA100" s="107" t="e">
        <f>+AA98/Award!AA98</f>
        <v>#DIV/0!</v>
      </c>
    </row>
    <row r="101" spans="1:27" x14ac:dyDescent="0.25">
      <c r="Z101" t="s">
        <v>172</v>
      </c>
      <c r="AA101" s="107" t="e">
        <f>+AA98/(AA98+Award!AA98)</f>
        <v>#DIV/0!</v>
      </c>
    </row>
  </sheetData>
  <sheetProtection password="9F12" sheet="1" objects="1" scenarios="1"/>
  <mergeCells count="21">
    <mergeCell ref="A1:B1"/>
    <mergeCell ref="D2:Q2"/>
    <mergeCell ref="T2:X2"/>
    <mergeCell ref="E4:K4"/>
    <mergeCell ref="L7:N7"/>
    <mergeCell ref="O7:Q7"/>
    <mergeCell ref="R7:T7"/>
    <mergeCell ref="U7:W7"/>
    <mergeCell ref="X7:Z7"/>
    <mergeCell ref="D1:AA1"/>
    <mergeCell ref="AB7:AF7"/>
    <mergeCell ref="AH7:AL7"/>
    <mergeCell ref="AR7:AU7"/>
    <mergeCell ref="D87:J87"/>
    <mergeCell ref="C46:J46"/>
    <mergeCell ref="D66:J66"/>
    <mergeCell ref="D67:J67"/>
    <mergeCell ref="D84:J84"/>
    <mergeCell ref="D85:J85"/>
    <mergeCell ref="D86:J86"/>
    <mergeCell ref="B27:D27"/>
  </mergeCells>
  <dataValidations count="12">
    <dataValidation allowBlank="1" showInputMessage="1" showErrorMessage="1" prompt="# of Hrs" sqref="L32 X32 U32 R32 O32"/>
    <dataValidation allowBlank="1" showInputMessage="1" showErrorMessage="1" promptTitle=" " prompt="Hourly Wage" sqref="H32"/>
    <dataValidation allowBlank="1" showInputMessage="1" showErrorMessage="1" error="12 mo cannot have summer_x000a_" prompt="Only for 9 mo and 10 mo Personel_x000a_" sqref="M9"/>
    <dataValidation allowBlank="1" showInputMessage="1" showErrorMessage="1" prompt="Enter name of Institution or Business" sqref="D66:J85"/>
    <dataValidation allowBlank="1" showInputMessage="1" showErrorMessage="1" prompt="% Salary Increase by Year" sqref="W4"/>
    <dataValidation allowBlank="1" showInputMessage="1" showErrorMessage="1" prompt="Only for 9 mo and 10 mo Personel_x000a_" sqref="M10:M24"/>
    <dataValidation allowBlank="1" showInputMessage="1" showErrorMessage="1" prompt="% Effort during the PI's appointment period" sqref="X33 X28:X31 U28:U31 R28:R31 O28:O31 R33 O33 U33 U9:V24 R9:S24 X9:Y24 L9:L24 O9:P24"/>
    <dataValidation allowBlank="1" showInputMessage="1" showErrorMessage="1" prompt="What is the Due Date on the RFP" sqref="AA2"/>
    <dataValidation allowBlank="1" showInputMessage="1" showErrorMessage="1" prompt="Who is the sponor of the Propsal_x000a_" sqref="T2:X2"/>
    <dataValidation allowBlank="1" showInputMessage="1" showErrorMessage="1" prompt="Short name of the Proposal" sqref="D2:Q2"/>
    <dataValidation type="list" allowBlank="1" showInputMessage="1" showErrorMessage="1" sqref="G30:G31 H54:H57 F33 F28:F31">
      <formula1>$BS$9:$BS$10</formula1>
    </dataValidation>
    <dataValidation type="list" allowBlank="1" showInputMessage="1" showErrorMessage="1" sqref="C28:C33">
      <formula1>$BQ$9:$BQ$30</formula1>
    </dataValidation>
  </dataValidations>
  <pageMargins left="0.5" right="0.2" top="0.2" bottom="0.25" header="0.3" footer="0.3"/>
  <pageSetup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Is the Senior Person_x000a_nel 9mo, 10 mo, or 12mo_x000a_">
          <x14:formula1>
            <xm:f>Award!$BK$9:$BK$11</xm:f>
          </x14:formula1>
          <xm:sqref>J9:J24</xm:sqref>
        </x14:dataValidation>
        <x14:dataValidation type="list" allowBlank="1" showInputMessage="1" showErrorMessage="1" promptTitle="Enter whole number 1-5" prompt=" ">
          <x14:formula1>
            <xm:f>Award!$BL$9:$BL$13</xm:f>
          </x14:formula1>
          <xm:sqref>S4</xm:sqref>
        </x14:dataValidation>
        <x14:dataValidation type="list" allowBlank="1" showInputMessage="1" showErrorMessage="1" promptTitle=" " prompt="Pick from Drop Down List">
          <x14:formula1>
            <xm:f>Award!$BM$9:$BM$24</xm:f>
          </x14:formula1>
          <xm:sqref>O4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workbookViewId="0">
      <selection activeCell="N47" sqref="N47"/>
    </sheetView>
  </sheetViews>
  <sheetFormatPr defaultRowHeight="15" x14ac:dyDescent="0.25"/>
  <cols>
    <col min="1" max="1" width="3" style="115" bestFit="1" customWidth="1"/>
    <col min="2" max="2" width="20.5703125" customWidth="1"/>
    <col min="4" max="8" width="13.28515625" bestFit="1" customWidth="1"/>
    <col min="9" max="9" width="14.28515625" bestFit="1" customWidth="1"/>
    <col min="10" max="10" width="24.140625" bestFit="1" customWidth="1"/>
    <col min="11" max="11" width="55" customWidth="1"/>
  </cols>
  <sheetData>
    <row r="1" spans="1:12" ht="18.75" x14ac:dyDescent="0.3">
      <c r="A1" s="374" t="s">
        <v>555</v>
      </c>
      <c r="B1" s="374"/>
      <c r="C1" s="374"/>
      <c r="D1" s="374"/>
      <c r="E1" s="374"/>
      <c r="F1" s="374"/>
      <c r="G1" s="374"/>
      <c r="H1" s="374"/>
      <c r="I1" s="374"/>
      <c r="J1" s="374"/>
      <c r="K1" s="374"/>
      <c r="L1" s="374"/>
    </row>
    <row r="2" spans="1:12" x14ac:dyDescent="0.25">
      <c r="A2" s="322" t="s">
        <v>81</v>
      </c>
      <c r="B2" s="323"/>
      <c r="C2" s="323" t="str">
        <f>+Award!T2</f>
        <v xml:space="preserve"> </v>
      </c>
      <c r="D2" s="323"/>
      <c r="E2" s="323"/>
      <c r="F2" s="323"/>
      <c r="G2" s="323"/>
      <c r="H2" s="323"/>
      <c r="I2" s="323"/>
      <c r="J2" s="323"/>
      <c r="K2" s="323"/>
      <c r="L2" s="323"/>
    </row>
    <row r="3" spans="1:12" x14ac:dyDescent="0.25">
      <c r="A3" s="322" t="str">
        <f>+Award!A2</f>
        <v>Proposal:</v>
      </c>
      <c r="B3" s="323"/>
      <c r="C3" s="323" t="str">
        <f>+Award!D2</f>
        <v xml:space="preserve">2018 WATER RESOURCE 104G PRE PROPOSAL </v>
      </c>
      <c r="D3" s="323"/>
      <c r="E3" s="323"/>
      <c r="F3" s="323"/>
      <c r="G3" s="323"/>
      <c r="H3" s="323"/>
      <c r="I3" s="323"/>
      <c r="J3" s="323"/>
      <c r="K3" s="323"/>
      <c r="L3" s="323"/>
    </row>
    <row r="4" spans="1:12" s="7" customFormat="1" ht="30" x14ac:dyDescent="0.25">
      <c r="A4" s="331" t="s">
        <v>532</v>
      </c>
      <c r="B4" s="333" t="s">
        <v>534</v>
      </c>
      <c r="C4" s="321"/>
      <c r="D4" s="321" t="s">
        <v>459</v>
      </c>
      <c r="E4" s="321" t="s">
        <v>529</v>
      </c>
      <c r="F4" s="321" t="s">
        <v>461</v>
      </c>
      <c r="G4" s="321" t="s">
        <v>474</v>
      </c>
      <c r="H4" s="321" t="s">
        <v>475</v>
      </c>
      <c r="I4" s="321" t="s">
        <v>104</v>
      </c>
      <c r="J4" s="321" t="s">
        <v>530</v>
      </c>
      <c r="K4" s="321" t="s">
        <v>531</v>
      </c>
      <c r="L4" s="321"/>
    </row>
    <row r="5" spans="1:12" ht="31.5" x14ac:dyDescent="0.25">
      <c r="A5" s="115">
        <v>1</v>
      </c>
      <c r="B5" s="218" t="str">
        <f>+Match!C9</f>
        <v xml:space="preserve"> </v>
      </c>
      <c r="C5" s="218">
        <f>+Match!D9</f>
        <v>0</v>
      </c>
      <c r="D5" s="324">
        <f>+Match!N9</f>
        <v>0</v>
      </c>
      <c r="E5" s="324">
        <f>+Match!Q9</f>
        <v>0</v>
      </c>
      <c r="F5" s="324">
        <f>+Match!T9</f>
        <v>0</v>
      </c>
      <c r="G5" s="324" t="str">
        <f>+Match!W9</f>
        <v xml:space="preserve"> </v>
      </c>
      <c r="H5" s="324" t="str">
        <f>+Match!Z9</f>
        <v xml:space="preserve"> </v>
      </c>
      <c r="I5" s="324">
        <f>SUM(D5:H5)</f>
        <v>0</v>
      </c>
      <c r="J5" s="110"/>
      <c r="K5" s="304" t="s">
        <v>483</v>
      </c>
    </row>
    <row r="6" spans="1:12" x14ac:dyDescent="0.25">
      <c r="A6" s="115">
        <v>2</v>
      </c>
      <c r="B6" s="218">
        <f>+Match!C10</f>
        <v>0</v>
      </c>
      <c r="C6" s="218">
        <f>+Match!D10</f>
        <v>0</v>
      </c>
      <c r="D6" s="324">
        <f>+Match!N10</f>
        <v>0</v>
      </c>
      <c r="E6" s="324">
        <f>+Match!Q10</f>
        <v>0</v>
      </c>
      <c r="F6" s="324">
        <f>+Match!T10</f>
        <v>0</v>
      </c>
      <c r="G6" s="324" t="str">
        <f>+Match!W10</f>
        <v xml:space="preserve"> </v>
      </c>
      <c r="H6" s="324" t="str">
        <f>+Match!Z10</f>
        <v xml:space="preserve"> </v>
      </c>
      <c r="I6" s="324">
        <f t="shared" ref="I6:I28" si="0">SUM(D6:H6)</f>
        <v>0</v>
      </c>
      <c r="J6" s="110"/>
    </row>
    <row r="7" spans="1:12" x14ac:dyDescent="0.25">
      <c r="A7" s="115">
        <v>3</v>
      </c>
      <c r="B7" s="218">
        <f>+Match!C11</f>
        <v>0</v>
      </c>
      <c r="C7" s="218">
        <f>+Match!D11</f>
        <v>0</v>
      </c>
      <c r="D7" s="324">
        <f>+Match!N11</f>
        <v>0</v>
      </c>
      <c r="E7" s="324">
        <f>+Match!Q11</f>
        <v>0</v>
      </c>
      <c r="F7" s="324">
        <f>+Match!T11</f>
        <v>0</v>
      </c>
      <c r="G7" s="324" t="str">
        <f>+Match!W11</f>
        <v xml:space="preserve"> </v>
      </c>
      <c r="H7" s="324" t="str">
        <f>+Match!Z11</f>
        <v xml:space="preserve"> </v>
      </c>
      <c r="I7" s="324">
        <f t="shared" si="0"/>
        <v>0</v>
      </c>
      <c r="J7" s="110"/>
    </row>
    <row r="8" spans="1:12" x14ac:dyDescent="0.25">
      <c r="A8" s="115">
        <v>4</v>
      </c>
      <c r="B8" s="218">
        <f>+Match!C12</f>
        <v>0</v>
      </c>
      <c r="C8" s="218">
        <f>+Match!D12</f>
        <v>0</v>
      </c>
      <c r="D8" s="324">
        <f>+Match!N12</f>
        <v>0</v>
      </c>
      <c r="E8" s="324">
        <f>+Match!Q12</f>
        <v>0</v>
      </c>
      <c r="F8" s="324">
        <f>+Match!T12</f>
        <v>0</v>
      </c>
      <c r="G8" s="324" t="str">
        <f>+Match!W12</f>
        <v xml:space="preserve"> </v>
      </c>
      <c r="H8" s="324" t="str">
        <f>+Match!Z12</f>
        <v xml:space="preserve"> </v>
      </c>
      <c r="I8" s="324">
        <f t="shared" si="0"/>
        <v>0</v>
      </c>
      <c r="J8" s="110"/>
    </row>
    <row r="9" spans="1:12" x14ac:dyDescent="0.25">
      <c r="A9" s="115">
        <v>5</v>
      </c>
      <c r="B9" s="218">
        <f>+Match!C13</f>
        <v>0</v>
      </c>
      <c r="C9" s="218">
        <f>+Match!D13</f>
        <v>0</v>
      </c>
      <c r="D9" s="324">
        <f>+Match!N13</f>
        <v>0</v>
      </c>
      <c r="E9" s="324">
        <f>+Match!Q13</f>
        <v>0</v>
      </c>
      <c r="F9" s="324">
        <f>+Match!T13</f>
        <v>0</v>
      </c>
      <c r="G9" s="324" t="str">
        <f>+Match!W13</f>
        <v xml:space="preserve"> </v>
      </c>
      <c r="H9" s="324" t="str">
        <f>+Match!Z13</f>
        <v xml:space="preserve"> </v>
      </c>
      <c r="I9" s="324">
        <f t="shared" si="0"/>
        <v>0</v>
      </c>
      <c r="J9" s="110"/>
    </row>
    <row r="10" spans="1:12" x14ac:dyDescent="0.25">
      <c r="A10" s="115">
        <v>6</v>
      </c>
      <c r="B10" s="218">
        <f>+Match!C14</f>
        <v>0</v>
      </c>
      <c r="C10" s="218">
        <f>+Match!D14</f>
        <v>0</v>
      </c>
      <c r="D10" s="324">
        <f>+Match!N14</f>
        <v>0</v>
      </c>
      <c r="E10" s="324">
        <f>+Match!Q14</f>
        <v>0</v>
      </c>
      <c r="F10" s="324">
        <f>+Match!T14</f>
        <v>0</v>
      </c>
      <c r="G10" s="324" t="str">
        <f>+Match!W14</f>
        <v xml:space="preserve"> </v>
      </c>
      <c r="H10" s="324" t="str">
        <f>+Match!Z14</f>
        <v xml:space="preserve"> </v>
      </c>
      <c r="I10" s="324">
        <f t="shared" si="0"/>
        <v>0</v>
      </c>
      <c r="J10" s="110"/>
    </row>
    <row r="11" spans="1:12" x14ac:dyDescent="0.25">
      <c r="A11" s="115">
        <v>7</v>
      </c>
      <c r="B11" s="218">
        <f>+Match!C15</f>
        <v>0</v>
      </c>
      <c r="C11" s="218">
        <f>+Match!D15</f>
        <v>0</v>
      </c>
      <c r="D11" s="324">
        <f>+Match!N15</f>
        <v>0</v>
      </c>
      <c r="E11" s="324">
        <f>+Match!Q15</f>
        <v>0</v>
      </c>
      <c r="F11" s="324">
        <f>+Match!T15</f>
        <v>0</v>
      </c>
      <c r="G11" s="324" t="str">
        <f>+Match!W15</f>
        <v xml:space="preserve"> </v>
      </c>
      <c r="H11" s="324" t="str">
        <f>+Match!Z15</f>
        <v xml:space="preserve"> </v>
      </c>
      <c r="I11" s="324">
        <f t="shared" si="0"/>
        <v>0</v>
      </c>
      <c r="J11" s="110"/>
    </row>
    <row r="12" spans="1:12" x14ac:dyDescent="0.25">
      <c r="A12" s="115">
        <v>8</v>
      </c>
      <c r="B12" s="218">
        <f>+Match!C16</f>
        <v>0</v>
      </c>
      <c r="C12" s="218">
        <f>+Match!D16</f>
        <v>0</v>
      </c>
      <c r="D12" s="324">
        <f>+Match!N16</f>
        <v>0</v>
      </c>
      <c r="E12" s="324">
        <f>+Match!Q16</f>
        <v>0</v>
      </c>
      <c r="F12" s="324">
        <f>+Match!T16</f>
        <v>0</v>
      </c>
      <c r="G12" s="324" t="str">
        <f>+Match!W16</f>
        <v xml:space="preserve"> </v>
      </c>
      <c r="H12" s="324" t="str">
        <f>+Match!Z16</f>
        <v xml:space="preserve"> </v>
      </c>
      <c r="I12" s="324">
        <f t="shared" si="0"/>
        <v>0</v>
      </c>
      <c r="J12" s="110"/>
    </row>
    <row r="13" spans="1:12" hidden="1" x14ac:dyDescent="0.25">
      <c r="A13" s="115">
        <v>9</v>
      </c>
      <c r="B13" s="218">
        <f>+Match!C17</f>
        <v>0</v>
      </c>
      <c r="C13" s="218">
        <f>+Match!D17</f>
        <v>0</v>
      </c>
      <c r="D13" s="324">
        <f>+Match!N17</f>
        <v>0</v>
      </c>
      <c r="E13" s="324">
        <f>+Match!Q17</f>
        <v>0</v>
      </c>
      <c r="F13" s="324">
        <f>+Match!T17</f>
        <v>0</v>
      </c>
      <c r="G13" s="324" t="str">
        <f>+Match!W17</f>
        <v xml:space="preserve"> </v>
      </c>
      <c r="H13" s="324" t="str">
        <f>+Match!Z17</f>
        <v xml:space="preserve"> </v>
      </c>
      <c r="I13" s="324">
        <f t="shared" si="0"/>
        <v>0</v>
      </c>
      <c r="J13" s="110"/>
    </row>
    <row r="14" spans="1:12" hidden="1" x14ac:dyDescent="0.25">
      <c r="A14" s="115">
        <v>10</v>
      </c>
      <c r="B14" s="218">
        <f>+Match!C18</f>
        <v>0</v>
      </c>
      <c r="C14" s="218">
        <f>+Match!D18</f>
        <v>0</v>
      </c>
      <c r="D14" s="324">
        <f>+Match!N18</f>
        <v>0</v>
      </c>
      <c r="E14" s="324">
        <f>+Match!Q18</f>
        <v>0</v>
      </c>
      <c r="F14" s="324">
        <f>+Match!T18</f>
        <v>0</v>
      </c>
      <c r="G14" s="324" t="str">
        <f>+Match!W18</f>
        <v xml:space="preserve"> </v>
      </c>
      <c r="H14" s="324" t="str">
        <f>+Match!Z18</f>
        <v xml:space="preserve"> </v>
      </c>
      <c r="I14" s="324">
        <f t="shared" si="0"/>
        <v>0</v>
      </c>
      <c r="J14" s="110"/>
    </row>
    <row r="15" spans="1:12" hidden="1" x14ac:dyDescent="0.25">
      <c r="A15" s="115">
        <v>11</v>
      </c>
      <c r="B15" s="218">
        <f>+Match!C19</f>
        <v>0</v>
      </c>
      <c r="C15" s="218">
        <f>+Match!D19</f>
        <v>0</v>
      </c>
      <c r="D15" s="324">
        <f>+Match!N19</f>
        <v>0</v>
      </c>
      <c r="E15" s="324">
        <f>+Match!Q19</f>
        <v>0</v>
      </c>
      <c r="F15" s="324">
        <f>+Match!T19</f>
        <v>0</v>
      </c>
      <c r="G15" s="324" t="str">
        <f>+Match!W19</f>
        <v xml:space="preserve"> </v>
      </c>
      <c r="H15" s="324" t="str">
        <f>+Match!Z19</f>
        <v xml:space="preserve"> </v>
      </c>
      <c r="I15" s="324">
        <f t="shared" si="0"/>
        <v>0</v>
      </c>
      <c r="J15" s="110"/>
    </row>
    <row r="16" spans="1:12" hidden="1" x14ac:dyDescent="0.25">
      <c r="A16" s="115">
        <v>12</v>
      </c>
      <c r="B16" s="218">
        <f>+Match!C20</f>
        <v>0</v>
      </c>
      <c r="C16" s="218">
        <f>+Match!D20</f>
        <v>0</v>
      </c>
      <c r="D16" s="324">
        <f>+Match!N20</f>
        <v>0</v>
      </c>
      <c r="E16" s="324">
        <f>+Match!Q20</f>
        <v>0</v>
      </c>
      <c r="F16" s="324">
        <f>+Match!T20</f>
        <v>0</v>
      </c>
      <c r="G16" s="324" t="str">
        <f>+Match!W20</f>
        <v xml:space="preserve"> </v>
      </c>
      <c r="H16" s="324" t="str">
        <f>+Match!Z20</f>
        <v xml:space="preserve"> </v>
      </c>
      <c r="I16" s="324">
        <f t="shared" si="0"/>
        <v>0</v>
      </c>
      <c r="J16" s="110"/>
    </row>
    <row r="17" spans="1:12" hidden="1" x14ac:dyDescent="0.25">
      <c r="A17" s="115">
        <v>13</v>
      </c>
      <c r="B17" s="218">
        <f>+Match!C21</f>
        <v>0</v>
      </c>
      <c r="C17" s="218">
        <f>+Match!D21</f>
        <v>0</v>
      </c>
      <c r="D17" s="324">
        <f>+Match!N21</f>
        <v>0</v>
      </c>
      <c r="E17" s="324">
        <f>+Match!Q21</f>
        <v>0</v>
      </c>
      <c r="F17" s="324">
        <f>+Match!T21</f>
        <v>0</v>
      </c>
      <c r="G17" s="324" t="str">
        <f>+Match!W21</f>
        <v xml:space="preserve"> </v>
      </c>
      <c r="H17" s="324" t="str">
        <f>+Match!Z21</f>
        <v xml:space="preserve"> </v>
      </c>
      <c r="I17" s="324">
        <f t="shared" si="0"/>
        <v>0</v>
      </c>
      <c r="J17" s="110"/>
    </row>
    <row r="18" spans="1:12" hidden="1" x14ac:dyDescent="0.25">
      <c r="A18" s="115">
        <v>14</v>
      </c>
      <c r="B18" s="218">
        <f>+Match!C22</f>
        <v>0</v>
      </c>
      <c r="C18" s="218">
        <f>+Match!D22</f>
        <v>0</v>
      </c>
      <c r="D18" s="324">
        <f>+Match!N22</f>
        <v>0</v>
      </c>
      <c r="E18" s="324">
        <f>+Match!Q22</f>
        <v>0</v>
      </c>
      <c r="F18" s="324">
        <f>+Match!T22</f>
        <v>0</v>
      </c>
      <c r="G18" s="324" t="str">
        <f>+Match!W22</f>
        <v xml:space="preserve"> </v>
      </c>
      <c r="H18" s="324" t="str">
        <f>+Match!Z22</f>
        <v xml:space="preserve"> </v>
      </c>
      <c r="I18" s="324">
        <f t="shared" si="0"/>
        <v>0</v>
      </c>
      <c r="J18" s="110"/>
    </row>
    <row r="19" spans="1:12" hidden="1" x14ac:dyDescent="0.25">
      <c r="A19" s="115">
        <v>15</v>
      </c>
      <c r="B19" s="218">
        <f>+Match!C23</f>
        <v>0</v>
      </c>
      <c r="C19" s="218">
        <f>+Match!D23</f>
        <v>0</v>
      </c>
      <c r="D19" s="324">
        <f>+Match!N23</f>
        <v>0</v>
      </c>
      <c r="E19" s="324">
        <f>+Match!Q23</f>
        <v>0</v>
      </c>
      <c r="F19" s="324">
        <f>+Match!T23</f>
        <v>0</v>
      </c>
      <c r="G19" s="324" t="str">
        <f>+Match!W23</f>
        <v xml:space="preserve"> </v>
      </c>
      <c r="H19" s="324" t="str">
        <f>+Match!Z23</f>
        <v xml:space="preserve"> </v>
      </c>
      <c r="I19" s="324">
        <f t="shared" si="0"/>
        <v>0</v>
      </c>
      <c r="J19" s="110"/>
    </row>
    <row r="20" spans="1:12" x14ac:dyDescent="0.25">
      <c r="A20" s="115">
        <v>16</v>
      </c>
      <c r="B20" s="218">
        <f>+Match!C24</f>
        <v>0</v>
      </c>
      <c r="C20" s="218">
        <f>+Match!D24</f>
        <v>0</v>
      </c>
      <c r="D20" s="324">
        <f>+Match!N24</f>
        <v>0</v>
      </c>
      <c r="E20" s="324">
        <f>+Match!Q24</f>
        <v>0</v>
      </c>
      <c r="F20" s="324">
        <f>+Match!T24</f>
        <v>0</v>
      </c>
      <c r="G20" s="324" t="str">
        <f>+Match!W24</f>
        <v xml:space="preserve"> </v>
      </c>
      <c r="H20" s="324" t="str">
        <f>+Match!Z24</f>
        <v xml:space="preserve"> </v>
      </c>
      <c r="I20" s="324">
        <f t="shared" si="0"/>
        <v>0</v>
      </c>
      <c r="J20" s="110"/>
    </row>
    <row r="21" spans="1:12" x14ac:dyDescent="0.25">
      <c r="B21" s="7" t="s">
        <v>104</v>
      </c>
      <c r="C21" s="7"/>
      <c r="D21" s="326">
        <f>SUM(D5:D20)</f>
        <v>0</v>
      </c>
      <c r="E21" s="326">
        <f t="shared" ref="E21:H21" si="1">SUM(E5:E20)</f>
        <v>0</v>
      </c>
      <c r="F21" s="326">
        <f t="shared" si="1"/>
        <v>0</v>
      </c>
      <c r="G21" s="326">
        <f t="shared" si="1"/>
        <v>0</v>
      </c>
      <c r="H21" s="326">
        <f t="shared" si="1"/>
        <v>0</v>
      </c>
      <c r="I21" s="326">
        <f t="shared" si="0"/>
        <v>0</v>
      </c>
      <c r="J21" s="3"/>
    </row>
    <row r="22" spans="1:12" s="7" customFormat="1" x14ac:dyDescent="0.25">
      <c r="A22" s="331" t="s">
        <v>80</v>
      </c>
      <c r="B22" s="321" t="s">
        <v>93</v>
      </c>
      <c r="C22" s="321"/>
      <c r="D22" s="332"/>
      <c r="E22" s="332"/>
      <c r="F22" s="332"/>
      <c r="G22" s="332"/>
      <c r="H22" s="332"/>
      <c r="I22" s="332"/>
      <c r="J22" s="333"/>
      <c r="K22" s="321"/>
      <c r="L22" s="321"/>
    </row>
    <row r="23" spans="1:12" ht="31.5" x14ac:dyDescent="0.25">
      <c r="A23" s="115">
        <v>1</v>
      </c>
      <c r="B23" t="s">
        <v>535</v>
      </c>
      <c r="D23" s="324">
        <f>+Match!N28</f>
        <v>0</v>
      </c>
      <c r="E23" s="324">
        <f>+Match!Q28</f>
        <v>0</v>
      </c>
      <c r="F23" s="324">
        <f>+Match!T28</f>
        <v>0</v>
      </c>
      <c r="G23" s="324" t="str">
        <f>+Match!W28</f>
        <v xml:space="preserve"> </v>
      </c>
      <c r="H23" s="324" t="str">
        <f>+Match!Z28</f>
        <v xml:space="preserve"> </v>
      </c>
      <c r="I23" s="324">
        <f t="shared" si="0"/>
        <v>0</v>
      </c>
      <c r="J23" s="110"/>
      <c r="K23" s="304" t="s">
        <v>484</v>
      </c>
    </row>
    <row r="24" spans="1:12" x14ac:dyDescent="0.25">
      <c r="A24" s="115">
        <v>2</v>
      </c>
      <c r="B24" t="str">
        <f>+Award!D29</f>
        <v>Other</v>
      </c>
      <c r="D24" s="324">
        <f>+Match!N29</f>
        <v>0</v>
      </c>
      <c r="E24" s="324">
        <f>+Match!Q29</f>
        <v>0</v>
      </c>
      <c r="F24" s="324">
        <f>+Match!T29</f>
        <v>0</v>
      </c>
      <c r="G24" s="324" t="str">
        <f>+Match!W29</f>
        <v xml:space="preserve"> </v>
      </c>
      <c r="H24" s="324" t="str">
        <f>+Match!Z29</f>
        <v xml:space="preserve"> </v>
      </c>
      <c r="I24" s="324">
        <f t="shared" si="0"/>
        <v>0</v>
      </c>
      <c r="J24" s="110"/>
    </row>
    <row r="25" spans="1:12" x14ac:dyDescent="0.25">
      <c r="A25" s="115">
        <v>3</v>
      </c>
      <c r="B25" t="s">
        <v>39</v>
      </c>
      <c r="D25" s="324">
        <f>+Match!N30</f>
        <v>0</v>
      </c>
      <c r="E25" s="324">
        <f>+Match!Q30</f>
        <v>0</v>
      </c>
      <c r="F25" s="324">
        <f>+Match!T30</f>
        <v>0</v>
      </c>
      <c r="G25" s="324" t="str">
        <f>+Match!W30</f>
        <v xml:space="preserve"> </v>
      </c>
      <c r="H25" s="324" t="str">
        <f>+Match!Z30</f>
        <v xml:space="preserve"> </v>
      </c>
      <c r="I25" s="324">
        <f t="shared" si="0"/>
        <v>0</v>
      </c>
      <c r="J25" s="110"/>
    </row>
    <row r="26" spans="1:12" x14ac:dyDescent="0.25">
      <c r="A26" s="115">
        <v>4</v>
      </c>
      <c r="B26" t="s">
        <v>39</v>
      </c>
      <c r="D26" s="324">
        <f>+Match!N31</f>
        <v>0</v>
      </c>
      <c r="E26" s="324">
        <f>+Match!Q31</f>
        <v>0</v>
      </c>
      <c r="F26" s="324">
        <f>+Match!T31</f>
        <v>0</v>
      </c>
      <c r="G26" s="324" t="str">
        <f>+Match!W31</f>
        <v xml:space="preserve"> </v>
      </c>
      <c r="H26" s="324" t="str">
        <f>+Match!Z31</f>
        <v xml:space="preserve"> </v>
      </c>
      <c r="I26" s="324">
        <f t="shared" si="0"/>
        <v>0</v>
      </c>
      <c r="J26" s="110"/>
    </row>
    <row r="27" spans="1:12" x14ac:dyDescent="0.25">
      <c r="A27" s="115">
        <v>5</v>
      </c>
      <c r="B27" t="s">
        <v>40</v>
      </c>
      <c r="D27" s="324">
        <f>+Match!N32</f>
        <v>0</v>
      </c>
      <c r="E27" s="324">
        <f>+Match!Q32</f>
        <v>0</v>
      </c>
      <c r="F27" s="324">
        <f>+Match!T32</f>
        <v>0</v>
      </c>
      <c r="G27" s="324" t="str">
        <f>+Match!W32</f>
        <v xml:space="preserve"> </v>
      </c>
      <c r="H27" s="324" t="str">
        <f>+Match!Z32</f>
        <v xml:space="preserve"> </v>
      </c>
      <c r="I27" s="324">
        <f t="shared" si="0"/>
        <v>0</v>
      </c>
      <c r="J27" s="110"/>
    </row>
    <row r="28" spans="1:12" x14ac:dyDescent="0.25">
      <c r="A28" s="115">
        <v>6</v>
      </c>
      <c r="B28" t="s">
        <v>536</v>
      </c>
      <c r="D28" s="324">
        <f>+Match!N33</f>
        <v>0</v>
      </c>
      <c r="E28" s="324">
        <f>+Match!Q33</f>
        <v>0</v>
      </c>
      <c r="F28" s="324">
        <f>+Match!T33</f>
        <v>0</v>
      </c>
      <c r="G28" s="324">
        <f>+Match!W33</f>
        <v>0</v>
      </c>
      <c r="H28" s="324">
        <f>+Match!Z33</f>
        <v>0</v>
      </c>
      <c r="I28" s="324">
        <f t="shared" si="0"/>
        <v>0</v>
      </c>
      <c r="J28" s="110"/>
    </row>
    <row r="29" spans="1:12" x14ac:dyDescent="0.25">
      <c r="B29" s="7" t="s">
        <v>91</v>
      </c>
      <c r="C29" s="7"/>
      <c r="D29" s="326">
        <f>SUM(D23:D28)</f>
        <v>0</v>
      </c>
      <c r="E29" s="326">
        <f>SUM(E23:E28)</f>
        <v>0</v>
      </c>
      <c r="F29" s="326">
        <f>SUM(F23:F28)</f>
        <v>0</v>
      </c>
      <c r="G29" s="326">
        <f>SUM(G23:G28)</f>
        <v>0</v>
      </c>
      <c r="H29" s="326">
        <f>SUM(H23:H28)</f>
        <v>0</v>
      </c>
      <c r="I29" s="326">
        <f>SUM(D29:H29)</f>
        <v>0</v>
      </c>
      <c r="J29" s="3"/>
    </row>
    <row r="30" spans="1:12" ht="36" customHeight="1" x14ac:dyDescent="0.25">
      <c r="A30" s="329" t="s">
        <v>533</v>
      </c>
      <c r="B30" s="10" t="s">
        <v>537</v>
      </c>
      <c r="C30" s="10"/>
      <c r="D30" s="330">
        <f>+Match!N41</f>
        <v>0</v>
      </c>
      <c r="E30" s="330">
        <f>+Match!Q41</f>
        <v>0</v>
      </c>
      <c r="F30" s="330">
        <f>+Match!T41</f>
        <v>0</v>
      </c>
      <c r="G30" s="330">
        <f>+Match!W41</f>
        <v>0</v>
      </c>
      <c r="H30" s="330">
        <f>+Match!Z41</f>
        <v>0</v>
      </c>
      <c r="I30" s="330">
        <f>SUM(D30:H30)</f>
        <v>0</v>
      </c>
      <c r="J30" s="110"/>
      <c r="K30" s="304" t="s">
        <v>485</v>
      </c>
    </row>
    <row r="31" spans="1:12" x14ac:dyDescent="0.25">
      <c r="B31" s="7" t="s">
        <v>538</v>
      </c>
      <c r="C31" s="7"/>
      <c r="D31" s="326">
        <f>+D21+D29+D30</f>
        <v>0</v>
      </c>
      <c r="E31" s="326">
        <f t="shared" ref="E31:I31" si="2">+E21+E29+E30</f>
        <v>0</v>
      </c>
      <c r="F31" s="326">
        <f t="shared" si="2"/>
        <v>0</v>
      </c>
      <c r="G31" s="326">
        <f t="shared" si="2"/>
        <v>0</v>
      </c>
      <c r="H31" s="326">
        <f t="shared" si="2"/>
        <v>0</v>
      </c>
      <c r="I31" s="326">
        <f t="shared" si="2"/>
        <v>0</v>
      </c>
      <c r="J31" s="3"/>
    </row>
    <row r="32" spans="1:12" ht="47.25" x14ac:dyDescent="0.25">
      <c r="A32" s="327" t="s">
        <v>539</v>
      </c>
      <c r="B32" s="31" t="s">
        <v>540</v>
      </c>
      <c r="C32" s="31"/>
      <c r="D32" s="328">
        <f>+Match!N46</f>
        <v>0</v>
      </c>
      <c r="E32" s="328">
        <f>+Match!Q46</f>
        <v>0</v>
      </c>
      <c r="F32" s="328">
        <f>+Match!T46</f>
        <v>0</v>
      </c>
      <c r="G32" s="328">
        <f>+Match!W46</f>
        <v>0</v>
      </c>
      <c r="H32" s="328">
        <f>+Match!Z46</f>
        <v>0</v>
      </c>
      <c r="I32" s="328">
        <f>SUM(D32:H32)</f>
        <v>0</v>
      </c>
      <c r="J32" s="110"/>
      <c r="K32" s="304" t="s">
        <v>486</v>
      </c>
    </row>
    <row r="33" spans="1:12" s="7" customFormat="1" x14ac:dyDescent="0.25">
      <c r="A33" s="331" t="s">
        <v>541</v>
      </c>
      <c r="B33" s="321" t="s">
        <v>52</v>
      </c>
      <c r="C33" s="321"/>
      <c r="D33" s="332"/>
      <c r="E33" s="332"/>
      <c r="F33" s="332"/>
      <c r="G33" s="332"/>
      <c r="H33" s="332"/>
      <c r="I33" s="332"/>
      <c r="J33" s="333"/>
      <c r="K33" s="321"/>
      <c r="L33" s="321"/>
    </row>
    <row r="34" spans="1:12" ht="15.75" x14ac:dyDescent="0.25">
      <c r="A34" s="115">
        <v>1</v>
      </c>
      <c r="B34" t="s">
        <v>251</v>
      </c>
      <c r="D34" s="324">
        <f>+Match!N49</f>
        <v>0</v>
      </c>
      <c r="E34" s="324">
        <f>+Match!Q49</f>
        <v>0</v>
      </c>
      <c r="F34" s="324">
        <f>+Match!T49</f>
        <v>0</v>
      </c>
      <c r="G34" s="324">
        <f>+Match!W49</f>
        <v>0</v>
      </c>
      <c r="H34" s="324">
        <f>+Match!Z49</f>
        <v>0</v>
      </c>
      <c r="I34" s="324">
        <f>SUM(D34:H34)</f>
        <v>0</v>
      </c>
      <c r="J34" s="110"/>
      <c r="K34" s="304" t="s">
        <v>499</v>
      </c>
    </row>
    <row r="35" spans="1:12" x14ac:dyDescent="0.25">
      <c r="A35" s="115">
        <v>2</v>
      </c>
      <c r="B35" t="s">
        <v>53</v>
      </c>
      <c r="D35" s="324">
        <f>+Match!N50</f>
        <v>0</v>
      </c>
      <c r="E35" s="324">
        <f>+Match!Q50</f>
        <v>0</v>
      </c>
      <c r="F35" s="324">
        <f>+Match!T50</f>
        <v>0</v>
      </c>
      <c r="G35" s="324">
        <f>+Match!W50</f>
        <v>0</v>
      </c>
      <c r="H35" s="324">
        <f>+Match!Z50</f>
        <v>0</v>
      </c>
      <c r="I35" s="324">
        <f>SUM(D35:H35)</f>
        <v>0</v>
      </c>
      <c r="J35" s="110"/>
    </row>
    <row r="36" spans="1:12" x14ac:dyDescent="0.25">
      <c r="B36" s="7" t="s">
        <v>54</v>
      </c>
      <c r="C36" s="7"/>
      <c r="D36" s="326">
        <f>SUM(D34:D35)</f>
        <v>0</v>
      </c>
      <c r="E36" s="326">
        <f t="shared" ref="E36:I36" si="3">SUM(E34:E35)</f>
        <v>0</v>
      </c>
      <c r="F36" s="326">
        <f t="shared" si="3"/>
        <v>0</v>
      </c>
      <c r="G36" s="326">
        <f t="shared" si="3"/>
        <v>0</v>
      </c>
      <c r="H36" s="326">
        <f t="shared" si="3"/>
        <v>0</v>
      </c>
      <c r="I36" s="326">
        <f t="shared" si="3"/>
        <v>0</v>
      </c>
      <c r="J36" s="3"/>
    </row>
    <row r="37" spans="1:12" x14ac:dyDescent="0.25">
      <c r="A37" s="331" t="s">
        <v>542</v>
      </c>
      <c r="B37" s="321" t="s">
        <v>543</v>
      </c>
      <c r="C37" s="321"/>
      <c r="D37" s="332"/>
      <c r="E37" s="332"/>
      <c r="F37" s="332"/>
      <c r="G37" s="332"/>
      <c r="H37" s="332"/>
      <c r="I37" s="332"/>
      <c r="J37" s="333"/>
      <c r="K37" s="321"/>
      <c r="L37" s="321"/>
    </row>
    <row r="38" spans="1:12" ht="63" x14ac:dyDescent="0.25">
      <c r="A38" s="115">
        <v>1</v>
      </c>
      <c r="B38" t="s">
        <v>544</v>
      </c>
      <c r="D38" s="324"/>
      <c r="E38" s="324"/>
      <c r="F38" s="324"/>
      <c r="G38" s="324"/>
      <c r="H38" s="324"/>
      <c r="I38" s="324"/>
      <c r="J38" s="110"/>
      <c r="K38" s="304" t="s">
        <v>487</v>
      </c>
    </row>
    <row r="39" spans="1:12" x14ac:dyDescent="0.25">
      <c r="A39" s="115">
        <v>2</v>
      </c>
      <c r="B39" t="s">
        <v>57</v>
      </c>
      <c r="D39" s="324">
        <f>+Match!N54</f>
        <v>0</v>
      </c>
      <c r="E39" s="324">
        <f>+Match!Q54</f>
        <v>0</v>
      </c>
      <c r="F39" s="324">
        <f>+Match!T54</f>
        <v>0</v>
      </c>
      <c r="G39" s="324">
        <f>+Match!W54</f>
        <v>0</v>
      </c>
      <c r="H39" s="324">
        <f>+Match!Z54</f>
        <v>0</v>
      </c>
      <c r="I39" s="324">
        <f>SUM(D39:H39)</f>
        <v>0</v>
      </c>
      <c r="J39" s="110"/>
    </row>
    <row r="40" spans="1:12" x14ac:dyDescent="0.25">
      <c r="A40" s="115">
        <v>3</v>
      </c>
      <c r="B40" t="s">
        <v>52</v>
      </c>
      <c r="D40" s="324">
        <f>+Match!N55</f>
        <v>0</v>
      </c>
      <c r="E40" s="324">
        <f>+Match!Q55</f>
        <v>0</v>
      </c>
      <c r="F40" s="324">
        <f>+Match!T55</f>
        <v>0</v>
      </c>
      <c r="G40" s="324">
        <f>+Match!W55</f>
        <v>0</v>
      </c>
      <c r="H40" s="324">
        <f>+Match!Z55</f>
        <v>0</v>
      </c>
      <c r="I40" s="324">
        <f t="shared" ref="I40:I42" si="4">SUM(D40:H40)</f>
        <v>0</v>
      </c>
      <c r="J40" s="110"/>
    </row>
    <row r="41" spans="1:12" x14ac:dyDescent="0.25">
      <c r="A41" s="115">
        <v>4</v>
      </c>
      <c r="B41" t="s">
        <v>58</v>
      </c>
      <c r="D41" s="324">
        <f>+Match!N56</f>
        <v>0</v>
      </c>
      <c r="E41" s="324">
        <f>+Match!Q56</f>
        <v>0</v>
      </c>
      <c r="F41" s="324">
        <f>+Match!T56</f>
        <v>0</v>
      </c>
      <c r="G41" s="324">
        <f>+Match!W56</f>
        <v>0</v>
      </c>
      <c r="H41" s="324">
        <f>+Match!Z56</f>
        <v>0</v>
      </c>
      <c r="I41" s="324">
        <f t="shared" si="4"/>
        <v>0</v>
      </c>
      <c r="J41" s="110"/>
    </row>
    <row r="42" spans="1:12" x14ac:dyDescent="0.25">
      <c r="A42" s="115">
        <v>5</v>
      </c>
      <c r="B42" t="str">
        <f>+Match!C57</f>
        <v>Third Party Match</v>
      </c>
      <c r="D42" s="324">
        <f>+Match!N57</f>
        <v>0</v>
      </c>
      <c r="E42" s="324">
        <f>+Match!Q57</f>
        <v>0</v>
      </c>
      <c r="F42" s="324">
        <f>+Match!T57</f>
        <v>0</v>
      </c>
      <c r="G42" s="324">
        <f>+Match!W57</f>
        <v>0</v>
      </c>
      <c r="H42" s="324">
        <f>+Match!Z57</f>
        <v>0</v>
      </c>
      <c r="I42" s="324">
        <f t="shared" si="4"/>
        <v>0</v>
      </c>
      <c r="J42" s="110"/>
    </row>
    <row r="43" spans="1:12" ht="30" x14ac:dyDescent="0.25">
      <c r="B43" s="334" t="s">
        <v>545</v>
      </c>
      <c r="C43" s="7">
        <f>+Match!C58</f>
        <v>0</v>
      </c>
      <c r="D43" s="326">
        <f>SUM(D39:D42)</f>
        <v>0</v>
      </c>
      <c r="E43" s="326">
        <f t="shared" ref="E43:I43" si="5">SUM(E39:E42)</f>
        <v>0</v>
      </c>
      <c r="F43" s="326">
        <f t="shared" si="5"/>
        <v>0</v>
      </c>
      <c r="G43" s="326">
        <f t="shared" si="5"/>
        <v>0</v>
      </c>
      <c r="H43" s="326">
        <f t="shared" si="5"/>
        <v>0</v>
      </c>
      <c r="I43" s="326">
        <f t="shared" si="5"/>
        <v>0</v>
      </c>
      <c r="J43" s="3"/>
    </row>
    <row r="44" spans="1:12" x14ac:dyDescent="0.25">
      <c r="A44" s="335" t="s">
        <v>546</v>
      </c>
      <c r="B44" s="321" t="s">
        <v>63</v>
      </c>
      <c r="C44" s="321"/>
      <c r="D44" s="332"/>
      <c r="E44" s="332"/>
      <c r="F44" s="332"/>
      <c r="G44" s="332"/>
      <c r="H44" s="332"/>
      <c r="I44" s="332"/>
      <c r="J44" s="333"/>
      <c r="K44" s="321"/>
      <c r="L44" s="321"/>
    </row>
    <row r="45" spans="1:12" ht="15.75" x14ac:dyDescent="0.25">
      <c r="A45" s="115">
        <v>1</v>
      </c>
      <c r="B45" t="s">
        <v>225</v>
      </c>
      <c r="D45" s="324">
        <f>+Match!N61</f>
        <v>0</v>
      </c>
      <c r="E45" s="324">
        <f>+Match!Q61</f>
        <v>0</v>
      </c>
      <c r="F45" s="324">
        <f>+Match!T61</f>
        <v>0</v>
      </c>
      <c r="G45" s="324">
        <f>+Match!W61</f>
        <v>0</v>
      </c>
      <c r="H45" s="324">
        <f>+Match!Z61</f>
        <v>0</v>
      </c>
      <c r="I45" s="324">
        <f t="shared" ref="I45:I49" si="6">SUM(D45:H45)</f>
        <v>0</v>
      </c>
      <c r="J45" s="110"/>
      <c r="K45" s="304" t="s">
        <v>488</v>
      </c>
    </row>
    <row r="46" spans="1:12" ht="15.75" x14ac:dyDescent="0.25">
      <c r="A46" s="115">
        <v>2</v>
      </c>
      <c r="B46" t="s">
        <v>65</v>
      </c>
      <c r="D46" s="324">
        <f>+Match!N62</f>
        <v>0</v>
      </c>
      <c r="E46" s="324">
        <f>+Match!Q62</f>
        <v>0</v>
      </c>
      <c r="F46" s="324">
        <f>+Match!T62</f>
        <v>0</v>
      </c>
      <c r="G46" s="324">
        <f>+Match!W62</f>
        <v>0</v>
      </c>
      <c r="H46" s="324">
        <f>+Match!Z62</f>
        <v>0</v>
      </c>
      <c r="I46" s="324">
        <f t="shared" si="6"/>
        <v>0</v>
      </c>
      <c r="J46" s="110"/>
      <c r="K46" s="304" t="s">
        <v>489</v>
      </c>
    </row>
    <row r="47" spans="1:12" ht="15.75" x14ac:dyDescent="0.25">
      <c r="A47" s="115">
        <v>3</v>
      </c>
      <c r="B47" t="s">
        <v>226</v>
      </c>
      <c r="D47" s="324">
        <f>+Match!N63</f>
        <v>0</v>
      </c>
      <c r="E47" s="324">
        <f>+Match!Q63</f>
        <v>0</v>
      </c>
      <c r="F47" s="324">
        <f>+Match!T63</f>
        <v>0</v>
      </c>
      <c r="G47" s="324">
        <f>+Match!W63</f>
        <v>0</v>
      </c>
      <c r="H47" s="324">
        <f>+Match!Z63</f>
        <v>0</v>
      </c>
      <c r="I47" s="324">
        <f t="shared" si="6"/>
        <v>0</v>
      </c>
      <c r="J47" s="110"/>
      <c r="K47" s="304" t="s">
        <v>490</v>
      </c>
    </row>
    <row r="48" spans="1:12" ht="15.75" x14ac:dyDescent="0.25">
      <c r="A48" s="115">
        <v>4</v>
      </c>
      <c r="B48" t="s">
        <v>66</v>
      </c>
      <c r="D48" s="324">
        <f>+Match!N64</f>
        <v>0</v>
      </c>
      <c r="E48" s="324">
        <f>+Match!Q64</f>
        <v>0</v>
      </c>
      <c r="F48" s="324">
        <f>+Match!T64</f>
        <v>0</v>
      </c>
      <c r="G48" s="324">
        <f>+Match!W64</f>
        <v>0</v>
      </c>
      <c r="H48" s="324">
        <f>+Match!Z64</f>
        <v>0</v>
      </c>
      <c r="I48" s="324">
        <f t="shared" si="6"/>
        <v>0</v>
      </c>
      <c r="J48" s="110"/>
      <c r="K48" s="304" t="s">
        <v>491</v>
      </c>
    </row>
    <row r="49" spans="1:15" ht="31.5" x14ac:dyDescent="0.25">
      <c r="A49" s="115">
        <v>5</v>
      </c>
      <c r="B49" s="210" t="s">
        <v>547</v>
      </c>
      <c r="D49" s="325">
        <f>+SUM(Match!N66:N85)</f>
        <v>0</v>
      </c>
      <c r="E49" s="325">
        <f>+SUM(Match!Q66:Q85)</f>
        <v>0</v>
      </c>
      <c r="F49" s="325">
        <f>+SUM(Match!T66:T85)</f>
        <v>0</v>
      </c>
      <c r="G49" s="325">
        <f>+SUM(Match!W66:W85)</f>
        <v>0</v>
      </c>
      <c r="H49" s="325">
        <f>+SUM(Match!Z66:Z85)</f>
        <v>0</v>
      </c>
      <c r="I49" s="324">
        <f t="shared" si="6"/>
        <v>0</v>
      </c>
      <c r="J49" s="110"/>
      <c r="K49" s="304" t="s">
        <v>492</v>
      </c>
    </row>
    <row r="50" spans="1:15" ht="15.75" x14ac:dyDescent="0.25">
      <c r="A50" s="115">
        <v>6</v>
      </c>
      <c r="B50" t="s">
        <v>550</v>
      </c>
      <c r="D50" s="325"/>
      <c r="E50" s="325"/>
      <c r="F50" s="325"/>
      <c r="G50" s="325"/>
      <c r="H50" s="325"/>
      <c r="I50" s="325"/>
      <c r="J50" s="110"/>
      <c r="K50" s="304" t="s">
        <v>493</v>
      </c>
    </row>
    <row r="51" spans="1:15" ht="15.75" x14ac:dyDescent="0.25">
      <c r="A51" s="115">
        <v>7</v>
      </c>
      <c r="B51" t="s">
        <v>548</v>
      </c>
      <c r="D51" s="325"/>
      <c r="E51" s="325"/>
      <c r="F51" s="325"/>
      <c r="G51" s="325"/>
      <c r="H51" s="325"/>
      <c r="I51" s="325"/>
      <c r="J51" s="110"/>
      <c r="K51" s="304" t="s">
        <v>494</v>
      </c>
    </row>
    <row r="52" spans="1:15" ht="15.75" x14ac:dyDescent="0.25">
      <c r="A52" s="115">
        <v>8</v>
      </c>
      <c r="B52" t="s">
        <v>549</v>
      </c>
      <c r="D52" s="325">
        <f>+Match!N86</f>
        <v>0</v>
      </c>
      <c r="E52" s="325">
        <f>+Match!Q86</f>
        <v>0</v>
      </c>
      <c r="F52" s="325">
        <f>+Match!T86</f>
        <v>0</v>
      </c>
      <c r="G52" s="325">
        <f>+Match!W86</f>
        <v>0</v>
      </c>
      <c r="H52" s="325">
        <f>+Match!Z86</f>
        <v>0</v>
      </c>
      <c r="I52" s="324">
        <f t="shared" ref="I52:I56" si="7">SUM(D52:H52)</f>
        <v>0</v>
      </c>
      <c r="J52" s="110"/>
      <c r="K52" s="304" t="s">
        <v>495</v>
      </c>
    </row>
    <row r="53" spans="1:15" ht="15.75" x14ac:dyDescent="0.25">
      <c r="A53" s="115">
        <v>9</v>
      </c>
      <c r="B53" t="s">
        <v>59</v>
      </c>
      <c r="D53" s="325">
        <f>+Match!N87</f>
        <v>0</v>
      </c>
      <c r="E53" s="325">
        <f>+Match!Q87</f>
        <v>0</v>
      </c>
      <c r="F53" s="325">
        <f>+Match!T87</f>
        <v>0</v>
      </c>
      <c r="G53" s="325">
        <f>+Match!W87</f>
        <v>0</v>
      </c>
      <c r="H53" s="325">
        <f>+Match!Z87</f>
        <v>0</v>
      </c>
      <c r="I53" s="324">
        <f t="shared" si="7"/>
        <v>0</v>
      </c>
      <c r="J53" s="110"/>
      <c r="K53" s="304" t="s">
        <v>496</v>
      </c>
    </row>
    <row r="54" spans="1:15" x14ac:dyDescent="0.25">
      <c r="B54" s="7" t="s">
        <v>71</v>
      </c>
      <c r="C54" s="7"/>
      <c r="D54" s="336">
        <f>SUM(D45:D53)</f>
        <v>0</v>
      </c>
      <c r="E54" s="336">
        <f t="shared" ref="E54:H54" si="8">SUM(E45:E53)</f>
        <v>0</v>
      </c>
      <c r="F54" s="336">
        <f t="shared" si="8"/>
        <v>0</v>
      </c>
      <c r="G54" s="336">
        <f t="shared" si="8"/>
        <v>0</v>
      </c>
      <c r="H54" s="336">
        <f t="shared" si="8"/>
        <v>0</v>
      </c>
      <c r="I54" s="326">
        <f t="shared" si="7"/>
        <v>0</v>
      </c>
      <c r="J54" s="110"/>
    </row>
    <row r="55" spans="1:15" x14ac:dyDescent="0.25">
      <c r="A55" s="6" t="s">
        <v>551</v>
      </c>
      <c r="B55" s="7" t="s">
        <v>554</v>
      </c>
      <c r="C55" s="7"/>
      <c r="D55" s="336">
        <f t="shared" ref="D55:I55" si="9">SUM(D54,D43,D36,D32,D31)</f>
        <v>0</v>
      </c>
      <c r="E55" s="336">
        <f t="shared" si="9"/>
        <v>0</v>
      </c>
      <c r="F55" s="336">
        <f t="shared" si="9"/>
        <v>0</v>
      </c>
      <c r="G55" s="336">
        <f t="shared" si="9"/>
        <v>0</v>
      </c>
      <c r="H55" s="336">
        <f t="shared" si="9"/>
        <v>0</v>
      </c>
      <c r="I55" s="336">
        <f t="shared" si="9"/>
        <v>0</v>
      </c>
      <c r="J55" s="110"/>
    </row>
    <row r="56" spans="1:15" ht="31.5" x14ac:dyDescent="0.25">
      <c r="A56" s="115" t="s">
        <v>552</v>
      </c>
      <c r="B56" t="s">
        <v>553</v>
      </c>
      <c r="D56" s="325">
        <f>+Match!N96</f>
        <v>0</v>
      </c>
      <c r="E56" s="325">
        <f>+Match!Q96</f>
        <v>0</v>
      </c>
      <c r="F56" s="325">
        <f>+Match!T96</f>
        <v>0</v>
      </c>
      <c r="G56" s="325">
        <f>+Match!W96</f>
        <v>0</v>
      </c>
      <c r="H56" s="325">
        <f>+Match!Z96</f>
        <v>0</v>
      </c>
      <c r="I56" s="324">
        <f t="shared" si="7"/>
        <v>0</v>
      </c>
      <c r="J56" s="110"/>
      <c r="K56" s="304" t="s">
        <v>497</v>
      </c>
    </row>
    <row r="57" spans="1:15" x14ac:dyDescent="0.25">
      <c r="A57" s="337"/>
      <c r="B57" s="323" t="s">
        <v>104</v>
      </c>
      <c r="C57" s="323"/>
      <c r="D57" s="338">
        <f>SUM(D55:D56)</f>
        <v>0</v>
      </c>
      <c r="E57" s="338">
        <f t="shared" ref="E57:I57" si="10">SUM(E55:E56)</f>
        <v>0</v>
      </c>
      <c r="F57" s="338">
        <f t="shared" si="10"/>
        <v>0</v>
      </c>
      <c r="G57" s="338">
        <f t="shared" si="10"/>
        <v>0</v>
      </c>
      <c r="H57" s="338">
        <f t="shared" si="10"/>
        <v>0</v>
      </c>
      <c r="I57" s="338">
        <f t="shared" si="10"/>
        <v>0</v>
      </c>
      <c r="J57" s="339"/>
      <c r="K57" s="323"/>
      <c r="L57" s="323"/>
    </row>
    <row r="59" spans="1:15" ht="18.75" x14ac:dyDescent="0.3">
      <c r="B59" s="312" t="s">
        <v>507</v>
      </c>
      <c r="C59" s="313"/>
      <c r="D59" s="314"/>
      <c r="E59" s="314"/>
      <c r="F59" s="314"/>
      <c r="G59" s="314"/>
      <c r="H59" s="314"/>
      <c r="I59" s="314"/>
      <c r="J59" s="315"/>
      <c r="K59" s="303"/>
      <c r="L59" s="303"/>
      <c r="M59" s="303"/>
      <c r="N59" s="303"/>
      <c r="O59" s="303"/>
    </row>
    <row r="60" spans="1:15" ht="15.75" x14ac:dyDescent="0.25">
      <c r="B60" s="367" t="s">
        <v>500</v>
      </c>
      <c r="C60" s="367"/>
      <c r="D60" s="316" t="s">
        <v>501</v>
      </c>
      <c r="E60" s="317" t="s">
        <v>502</v>
      </c>
      <c r="F60" s="317" t="s">
        <v>503</v>
      </c>
      <c r="G60" s="317" t="s">
        <v>504</v>
      </c>
      <c r="H60" s="317" t="s">
        <v>505</v>
      </c>
      <c r="I60" s="317" t="s">
        <v>506</v>
      </c>
      <c r="J60" s="317" t="s">
        <v>104</v>
      </c>
      <c r="K60" s="303"/>
      <c r="L60" t="s">
        <v>508</v>
      </c>
      <c r="M60" s="303"/>
      <c r="N60" s="303"/>
      <c r="O60" s="309">
        <v>0.23</v>
      </c>
    </row>
    <row r="61" spans="1:15" ht="15.75" x14ac:dyDescent="0.25">
      <c r="B61" s="363"/>
      <c r="C61" s="363"/>
      <c r="D61" s="318"/>
      <c r="E61" s="318"/>
      <c r="F61" s="318"/>
      <c r="G61" s="318"/>
      <c r="H61" s="318"/>
      <c r="I61" s="318"/>
      <c r="J61" s="319">
        <f>SUM(F61:I61)</f>
        <v>0</v>
      </c>
      <c r="K61" s="303"/>
      <c r="L61" t="s">
        <v>509</v>
      </c>
      <c r="M61" s="303"/>
      <c r="N61" s="303"/>
      <c r="O61" s="309">
        <v>0.42</v>
      </c>
    </row>
    <row r="62" spans="1:15" ht="15.75" x14ac:dyDescent="0.25">
      <c r="B62" s="363"/>
      <c r="C62" s="363"/>
      <c r="D62" s="318"/>
      <c r="E62" s="318"/>
      <c r="F62" s="318"/>
      <c r="G62" s="318"/>
      <c r="H62" s="318"/>
      <c r="I62" s="318"/>
      <c r="J62" s="320"/>
      <c r="K62" s="303"/>
      <c r="L62" s="303"/>
      <c r="M62" s="303"/>
      <c r="N62" s="303"/>
      <c r="O62" s="303"/>
    </row>
    <row r="63" spans="1:15" ht="15.75" x14ac:dyDescent="0.25">
      <c r="B63" s="363"/>
      <c r="C63" s="363"/>
      <c r="D63" s="318"/>
      <c r="E63" s="318"/>
      <c r="F63" s="318"/>
      <c r="G63" s="318"/>
      <c r="H63" s="318"/>
      <c r="I63" s="318"/>
      <c r="J63" s="320"/>
      <c r="K63" s="303"/>
      <c r="L63" s="7" t="s">
        <v>510</v>
      </c>
      <c r="M63" s="303"/>
      <c r="N63" s="303"/>
      <c r="O63" s="303"/>
    </row>
    <row r="64" spans="1:15" ht="15.75" x14ac:dyDescent="0.25">
      <c r="B64" s="363"/>
      <c r="C64" s="363"/>
      <c r="D64" s="318"/>
      <c r="E64" s="318"/>
      <c r="F64" s="318"/>
      <c r="G64" s="318"/>
      <c r="H64" s="318"/>
      <c r="I64" s="318"/>
      <c r="J64" s="320"/>
      <c r="K64" s="303"/>
      <c r="L64" s="310"/>
      <c r="M64" s="12" t="s">
        <v>511</v>
      </c>
      <c r="N64" s="310" t="s">
        <v>512</v>
      </c>
      <c r="O64" s="310" t="s">
        <v>513</v>
      </c>
    </row>
    <row r="65" spans="2:15" ht="15.75" x14ac:dyDescent="0.25">
      <c r="B65" s="363"/>
      <c r="C65" s="363"/>
      <c r="D65" s="318"/>
      <c r="E65" s="318"/>
      <c r="F65" s="318"/>
      <c r="G65" s="318"/>
      <c r="H65" s="318"/>
      <c r="I65" s="318"/>
      <c r="J65" s="320"/>
      <c r="K65" s="303"/>
      <c r="L65" s="310" t="s">
        <v>514</v>
      </c>
      <c r="M65" s="112">
        <v>6</v>
      </c>
      <c r="N65" s="311">
        <v>10</v>
      </c>
      <c r="O65" s="311">
        <v>10</v>
      </c>
    </row>
    <row r="66" spans="2:15" ht="15.75" x14ac:dyDescent="0.25">
      <c r="B66" s="306"/>
      <c r="C66" s="306"/>
      <c r="D66" s="307"/>
      <c r="E66" s="307"/>
      <c r="F66" s="307"/>
      <c r="G66" s="307"/>
      <c r="H66" s="307"/>
      <c r="I66" s="307"/>
      <c r="J66" s="308"/>
      <c r="K66" s="303"/>
      <c r="L66" s="310" t="s">
        <v>515</v>
      </c>
      <c r="M66" s="112">
        <v>11</v>
      </c>
      <c r="N66" s="311">
        <v>14</v>
      </c>
      <c r="O66" s="311">
        <v>21</v>
      </c>
    </row>
    <row r="67" spans="2:15" ht="15.75" x14ac:dyDescent="0.25">
      <c r="B67" s="306"/>
      <c r="C67" s="306"/>
      <c r="D67" s="307"/>
      <c r="E67" s="307"/>
      <c r="F67" s="307"/>
      <c r="G67" s="307"/>
      <c r="H67" s="307"/>
      <c r="I67" s="307"/>
      <c r="J67" s="308"/>
      <c r="K67" s="303"/>
      <c r="L67" s="310" t="s">
        <v>516</v>
      </c>
      <c r="M67" s="112">
        <v>15</v>
      </c>
      <c r="N67" s="311">
        <v>21</v>
      </c>
      <c r="O67" s="311">
        <v>29</v>
      </c>
    </row>
    <row r="68" spans="2:15" ht="15.75" x14ac:dyDescent="0.25">
      <c r="B68" s="306"/>
      <c r="C68" s="306"/>
      <c r="D68" s="307"/>
      <c r="E68" s="307"/>
      <c r="F68" s="307"/>
      <c r="G68" s="307"/>
      <c r="H68" s="307"/>
      <c r="I68" s="307"/>
      <c r="J68" s="308"/>
      <c r="K68" s="303"/>
      <c r="L68" s="310" t="s">
        <v>517</v>
      </c>
      <c r="M68" s="112">
        <v>32</v>
      </c>
      <c r="N68" s="311">
        <v>45</v>
      </c>
      <c r="O68" s="311">
        <v>60</v>
      </c>
    </row>
    <row r="69" spans="2:15" ht="15.75" x14ac:dyDescent="0.25">
      <c r="B69" s="306"/>
      <c r="C69" s="306"/>
      <c r="D69" s="307"/>
      <c r="E69" s="307"/>
      <c r="F69" s="307"/>
      <c r="G69" s="307"/>
      <c r="H69" s="307"/>
      <c r="I69" s="307"/>
      <c r="J69" s="308"/>
      <c r="K69" s="303"/>
      <c r="L69" s="303"/>
      <c r="M69" s="303"/>
      <c r="N69" s="303"/>
      <c r="O69" s="303"/>
    </row>
    <row r="70" spans="2:15" ht="15.75" x14ac:dyDescent="0.25">
      <c r="B70" s="306"/>
      <c r="C70" s="306"/>
      <c r="D70" s="307"/>
      <c r="E70" s="307"/>
      <c r="F70" s="307"/>
      <c r="G70" s="307"/>
      <c r="H70" s="307"/>
      <c r="I70" s="307"/>
      <c r="J70" s="308"/>
      <c r="K70" s="303"/>
      <c r="L70" s="305" t="s">
        <v>518</v>
      </c>
      <c r="M70" s="303"/>
      <c r="N70" s="303"/>
      <c r="O70" s="303"/>
    </row>
    <row r="71" spans="2:15" ht="15.75" x14ac:dyDescent="0.25">
      <c r="B71" s="306"/>
      <c r="C71" s="306"/>
      <c r="D71" s="307"/>
      <c r="E71" s="307"/>
      <c r="F71" s="307"/>
      <c r="G71" s="307"/>
      <c r="H71" s="307"/>
      <c r="I71" s="307"/>
      <c r="J71" s="308"/>
      <c r="K71" s="303"/>
      <c r="L71" s="310" t="s">
        <v>519</v>
      </c>
      <c r="M71" s="310" t="s">
        <v>520</v>
      </c>
      <c r="N71" s="364" t="s">
        <v>521</v>
      </c>
      <c r="O71" s="365"/>
    </row>
    <row r="72" spans="2:15" ht="15.75" x14ac:dyDescent="0.25">
      <c r="B72" s="306"/>
      <c r="C72" s="306"/>
      <c r="D72" s="307"/>
      <c r="E72" s="307"/>
      <c r="F72" s="307"/>
      <c r="G72" s="307"/>
      <c r="H72" s="307"/>
      <c r="I72" s="307"/>
      <c r="J72" s="308"/>
      <c r="K72" s="303"/>
      <c r="L72" s="310" t="s">
        <v>514</v>
      </c>
      <c r="M72" s="310" t="s">
        <v>522</v>
      </c>
      <c r="N72" s="310" t="s">
        <v>525</v>
      </c>
      <c r="O72" s="310"/>
    </row>
    <row r="73" spans="2:15" ht="15.75" x14ac:dyDescent="0.25">
      <c r="B73" s="306"/>
      <c r="C73" s="306"/>
      <c r="D73" s="307"/>
      <c r="E73" s="307"/>
      <c r="F73" s="307"/>
      <c r="G73" s="307"/>
      <c r="H73" s="307"/>
      <c r="I73" s="307"/>
      <c r="J73" s="308"/>
      <c r="K73" s="303"/>
      <c r="L73" s="310" t="s">
        <v>515</v>
      </c>
      <c r="M73" s="310" t="s">
        <v>523</v>
      </c>
      <c r="N73" s="310" t="s">
        <v>526</v>
      </c>
      <c r="O73" s="310"/>
    </row>
    <row r="74" spans="2:15" ht="15.75" x14ac:dyDescent="0.25">
      <c r="B74" s="306"/>
      <c r="C74" s="306"/>
      <c r="D74" s="307"/>
      <c r="E74" s="307"/>
      <c r="F74" s="307"/>
      <c r="G74" s="307"/>
      <c r="H74" s="307"/>
      <c r="I74" s="307"/>
      <c r="J74" s="308"/>
      <c r="K74" s="303"/>
      <c r="L74" s="310" t="s">
        <v>516</v>
      </c>
      <c r="M74" s="310" t="s">
        <v>524</v>
      </c>
      <c r="N74" s="310" t="s">
        <v>527</v>
      </c>
      <c r="O74" s="310"/>
    </row>
    <row r="75" spans="2:15" ht="15.75" x14ac:dyDescent="0.25">
      <c r="B75" s="306"/>
      <c r="C75" s="306"/>
      <c r="D75" s="307"/>
      <c r="E75" s="307"/>
      <c r="F75" s="307"/>
      <c r="G75" s="307"/>
      <c r="H75" s="307"/>
      <c r="I75" s="307"/>
      <c r="J75" s="308"/>
      <c r="K75" s="303"/>
      <c r="L75" s="303"/>
      <c r="M75" s="303"/>
      <c r="N75" s="303"/>
      <c r="O75" s="303"/>
    </row>
  </sheetData>
  <mergeCells count="8">
    <mergeCell ref="B65:C65"/>
    <mergeCell ref="N71:O71"/>
    <mergeCell ref="A1:L1"/>
    <mergeCell ref="B60:C60"/>
    <mergeCell ref="B61:C61"/>
    <mergeCell ref="B62:C62"/>
    <mergeCell ref="B63:C63"/>
    <mergeCell ref="B64:C6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3"/>
  <sheetViews>
    <sheetView zoomScaleNormal="100" workbookViewId="0">
      <pane xSplit="4" ySplit="7" topLeftCell="E8" activePane="bottomRight" state="frozen"/>
      <selection sqref="A1:D1"/>
      <selection pane="topRight" sqref="A1:D1"/>
      <selection pane="bottomLeft" sqref="A1:D1"/>
      <selection pane="bottomRight" activeCell="H26" sqref="H26"/>
    </sheetView>
  </sheetViews>
  <sheetFormatPr defaultRowHeight="15" x14ac:dyDescent="0.25"/>
  <cols>
    <col min="1" max="1" width="4.42578125" customWidth="1"/>
    <col min="2" max="2" width="3.85546875" customWidth="1"/>
    <col min="3" max="3" width="8.42578125" customWidth="1"/>
    <col min="4" max="4" width="26" customWidth="1"/>
    <col min="5" max="5" width="3.140625" customWidth="1"/>
    <col min="6" max="6" width="8.85546875" customWidth="1"/>
    <col min="7" max="7" width="3.42578125" customWidth="1"/>
    <col min="8" max="8" width="14.85546875" bestFit="1" customWidth="1"/>
    <col min="9" max="9" width="4.140625" customWidth="1"/>
    <col min="10" max="10" width="5.140625" customWidth="1"/>
    <col min="11" max="11" width="1.85546875" customWidth="1"/>
    <col min="12" max="12" width="8.7109375" customWidth="1"/>
    <col min="13" max="13" width="10" bestFit="1" customWidth="1"/>
    <col min="14" max="14" width="13.28515625" customWidth="1"/>
    <col min="15" max="15" width="8.7109375" customWidth="1"/>
    <col min="16" max="16" width="10" bestFit="1" customWidth="1"/>
    <col min="17" max="17" width="12.7109375" customWidth="1"/>
    <col min="18" max="18" width="8.7109375" customWidth="1"/>
    <col min="19" max="19" width="10.140625" customWidth="1"/>
    <col min="20" max="20" width="12.7109375" customWidth="1"/>
    <col min="21" max="21" width="8.7109375" bestFit="1" customWidth="1"/>
    <col min="22" max="22" width="10.28515625" customWidth="1"/>
    <col min="23" max="23" width="12.7109375" customWidth="1"/>
    <col min="24" max="24" width="8.7109375" customWidth="1"/>
    <col min="25" max="25" width="10" customWidth="1"/>
    <col min="26" max="27" width="12.7109375" customWidth="1"/>
    <col min="28" max="32" width="11.5703125" bestFit="1" customWidth="1"/>
    <col min="52" max="52" width="12.85546875" bestFit="1" customWidth="1"/>
  </cols>
  <sheetData>
    <row r="1" spans="1:62" ht="21.75" thickBot="1" x14ac:dyDescent="0.4">
      <c r="A1" s="341">
        <v>42446</v>
      </c>
      <c r="B1" s="342"/>
      <c r="C1" s="203" t="s">
        <v>271</v>
      </c>
      <c r="D1" s="340" t="s">
        <v>0</v>
      </c>
      <c r="E1" s="340"/>
      <c r="F1" s="340"/>
      <c r="G1" s="340"/>
      <c r="H1" s="340"/>
      <c r="I1" s="340"/>
      <c r="J1" s="340"/>
      <c r="K1" s="340"/>
      <c r="L1" s="340"/>
      <c r="M1" s="340"/>
      <c r="N1" s="340"/>
      <c r="O1" s="340"/>
      <c r="P1" s="340"/>
      <c r="Q1" s="340"/>
      <c r="R1" s="340"/>
      <c r="S1" s="340"/>
      <c r="T1" s="340"/>
      <c r="U1" s="340"/>
      <c r="V1" s="340"/>
      <c r="W1" s="340"/>
      <c r="X1" s="340"/>
      <c r="Y1" s="340"/>
      <c r="Z1" s="340"/>
      <c r="AA1" s="340"/>
    </row>
    <row r="2" spans="1:62" ht="24" customHeight="1" x14ac:dyDescent="0.25">
      <c r="A2" s="7" t="s">
        <v>84</v>
      </c>
      <c r="D2" s="349" t="s">
        <v>80</v>
      </c>
      <c r="E2" s="349"/>
      <c r="F2" s="349"/>
      <c r="G2" s="349"/>
      <c r="H2" s="349"/>
      <c r="I2" s="349"/>
      <c r="J2" s="349"/>
      <c r="K2" s="349"/>
      <c r="L2" s="349"/>
      <c r="M2" s="349"/>
      <c r="N2" s="349"/>
      <c r="O2" s="349"/>
      <c r="P2" s="349"/>
      <c r="Q2" s="349"/>
      <c r="S2" s="30" t="s">
        <v>81</v>
      </c>
      <c r="T2" s="349" t="s">
        <v>80</v>
      </c>
      <c r="U2" s="349"/>
      <c r="V2" s="349"/>
      <c r="W2" s="349"/>
      <c r="X2" s="349"/>
      <c r="Z2" s="30" t="s">
        <v>82</v>
      </c>
      <c r="AA2" s="59" t="s">
        <v>80</v>
      </c>
    </row>
    <row r="3" spans="1:62" s="10" customFormat="1" x14ac:dyDescent="0.25">
      <c r="A3" s="32"/>
      <c r="B3" s="10" t="s">
        <v>196</v>
      </c>
      <c r="D3" s="33" t="s">
        <v>197</v>
      </c>
      <c r="E3" s="33"/>
      <c r="F3" s="33" t="s">
        <v>198</v>
      </c>
      <c r="G3" s="33"/>
      <c r="H3" s="33"/>
      <c r="I3" s="33"/>
      <c r="J3" s="33"/>
      <c r="K3" s="33"/>
      <c r="L3" s="33"/>
      <c r="M3" s="1" t="s">
        <v>1</v>
      </c>
      <c r="N3" s="33"/>
      <c r="O3" s="33"/>
      <c r="P3" s="33"/>
      <c r="Q3" s="33"/>
      <c r="R3" s="34"/>
      <c r="S3" s="33"/>
      <c r="T3" s="33"/>
      <c r="U3" s="33"/>
      <c r="V3" s="33"/>
      <c r="W3" s="33"/>
      <c r="X3" s="33"/>
      <c r="Z3" s="34"/>
      <c r="AA3" s="35"/>
    </row>
    <row r="4" spans="1:62" ht="24.75" customHeight="1" x14ac:dyDescent="0.25">
      <c r="A4" s="7" t="s">
        <v>274</v>
      </c>
      <c r="E4" s="349" t="s">
        <v>80</v>
      </c>
      <c r="F4" s="349"/>
      <c r="G4" s="349"/>
      <c r="H4" s="349"/>
      <c r="I4" s="349"/>
      <c r="J4" s="349"/>
      <c r="K4" s="349"/>
      <c r="M4" s="31"/>
      <c r="N4" s="30" t="s">
        <v>95</v>
      </c>
      <c r="O4" s="54" t="s">
        <v>264</v>
      </c>
      <c r="Q4" s="7" t="s">
        <v>83</v>
      </c>
      <c r="S4" s="54">
        <v>5</v>
      </c>
      <c r="V4" s="30" t="s">
        <v>2</v>
      </c>
      <c r="W4" s="60">
        <v>0.03</v>
      </c>
      <c r="Z4" s="201"/>
      <c r="AA4" s="202"/>
    </row>
    <row r="5" spans="1:62" x14ac:dyDescent="0.25">
      <c r="B5" s="1"/>
      <c r="L5" t="s">
        <v>194</v>
      </c>
      <c r="M5" t="s">
        <v>195</v>
      </c>
      <c r="O5" t="s">
        <v>194</v>
      </c>
      <c r="P5" t="s">
        <v>195</v>
      </c>
      <c r="R5" t="s">
        <v>194</v>
      </c>
      <c r="S5" t="s">
        <v>195</v>
      </c>
      <c r="U5" t="s">
        <v>194</v>
      </c>
      <c r="V5" t="s">
        <v>195</v>
      </c>
      <c r="X5" t="s">
        <v>194</v>
      </c>
      <c r="Y5" t="s">
        <v>195</v>
      </c>
    </row>
    <row r="6" spans="1:62" ht="15.75" thickBot="1" x14ac:dyDescent="0.3">
      <c r="L6" s="199"/>
      <c r="M6" s="199"/>
      <c r="O6" s="199"/>
      <c r="P6" s="199"/>
      <c r="R6" s="199"/>
      <c r="S6" s="199"/>
      <c r="U6" s="199"/>
      <c r="V6" s="199"/>
      <c r="X6" s="199"/>
      <c r="Y6" s="199"/>
    </row>
    <row r="7" spans="1:62" ht="15.75" thickBot="1" x14ac:dyDescent="0.3">
      <c r="A7" t="s">
        <v>3</v>
      </c>
      <c r="B7" s="6" t="s">
        <v>275</v>
      </c>
      <c r="D7" s="6"/>
      <c r="L7" s="350" t="s">
        <v>8</v>
      </c>
      <c r="M7" s="351"/>
      <c r="N7" s="352"/>
      <c r="O7" s="350" t="s">
        <v>9</v>
      </c>
      <c r="P7" s="351"/>
      <c r="Q7" s="352"/>
      <c r="R7" s="350" t="s">
        <v>10</v>
      </c>
      <c r="S7" s="351"/>
      <c r="T7" s="352"/>
      <c r="U7" s="350" t="s">
        <v>11</v>
      </c>
      <c r="V7" s="351"/>
      <c r="W7" s="352"/>
      <c r="X7" s="350" t="s">
        <v>12</v>
      </c>
      <c r="Y7" s="351"/>
      <c r="Z7" s="352"/>
      <c r="AA7" s="125"/>
      <c r="AB7" s="380" t="s">
        <v>170</v>
      </c>
      <c r="AC7" s="381"/>
      <c r="AD7" s="381"/>
      <c r="AE7" s="381"/>
      <c r="AF7" s="382"/>
      <c r="AG7" s="375" t="s">
        <v>150</v>
      </c>
      <c r="AH7" s="376"/>
      <c r="AI7" s="376"/>
      <c r="AJ7" s="377"/>
    </row>
    <row r="8" spans="1:62" s="254" customFormat="1" ht="15.75" thickTop="1" x14ac:dyDescent="0.25">
      <c r="A8" t="s">
        <v>15</v>
      </c>
      <c r="B8" s="357" t="s">
        <v>89</v>
      </c>
      <c r="C8" s="357"/>
      <c r="D8" s="357"/>
      <c r="E8"/>
      <c r="F8" s="253" t="s">
        <v>80</v>
      </c>
      <c r="G8" s="7" t="s">
        <v>80</v>
      </c>
      <c r="H8" s="50"/>
      <c r="I8" t="s">
        <v>424</v>
      </c>
      <c r="J8"/>
      <c r="K8"/>
      <c r="L8" s="18"/>
      <c r="M8" s="11"/>
      <c r="N8" s="38"/>
      <c r="O8" s="18"/>
      <c r="P8" s="11"/>
      <c r="Q8" s="38" t="s">
        <v>80</v>
      </c>
      <c r="R8" s="18"/>
      <c r="S8" s="11"/>
      <c r="T8" s="38" t="s">
        <v>80</v>
      </c>
      <c r="U8" s="18"/>
      <c r="V8" s="11"/>
      <c r="W8" s="38" t="s">
        <v>80</v>
      </c>
      <c r="X8" s="18"/>
      <c r="Y8" s="11"/>
      <c r="Z8" s="38">
        <f t="shared" ref="Z8" si="0">+IF($S$4&gt;4,(($H8*(1+$W$4))*Y8)," ")</f>
        <v>0</v>
      </c>
      <c r="AA8" s="255"/>
      <c r="AB8" s="256"/>
      <c r="AC8" s="257"/>
      <c r="AD8" s="257"/>
      <c r="AE8" s="257"/>
      <c r="AF8" s="258"/>
      <c r="AG8" s="259"/>
      <c r="AH8" s="171"/>
      <c r="AI8" s="171"/>
      <c r="AJ8" s="260"/>
      <c r="AK8"/>
      <c r="AL8"/>
      <c r="AM8"/>
      <c r="AZ8" s="153" t="s">
        <v>29</v>
      </c>
      <c r="BA8" s="154" t="s">
        <v>33</v>
      </c>
      <c r="BB8" s="154" t="s">
        <v>30</v>
      </c>
      <c r="BC8" s="154" t="s">
        <v>31</v>
      </c>
      <c r="BD8" s="154" t="s">
        <v>32</v>
      </c>
      <c r="BE8" s="154" t="s">
        <v>35</v>
      </c>
      <c r="BF8" s="154" t="s">
        <v>93</v>
      </c>
      <c r="BG8" s="154"/>
      <c r="BH8" s="154" t="s">
        <v>32</v>
      </c>
      <c r="BI8" s="155" t="s">
        <v>267</v>
      </c>
    </row>
    <row r="9" spans="1:62" x14ac:dyDescent="0.25">
      <c r="B9">
        <v>1</v>
      </c>
      <c r="C9" s="54">
        <v>1</v>
      </c>
      <c r="D9" s="13" t="s">
        <v>39</v>
      </c>
      <c r="E9" s="360" t="s">
        <v>331</v>
      </c>
      <c r="F9" s="361"/>
      <c r="G9" s="362"/>
      <c r="H9" s="247">
        <v>40000</v>
      </c>
      <c r="I9" s="378">
        <v>20</v>
      </c>
      <c r="J9" s="379"/>
      <c r="K9" s="91"/>
      <c r="L9" s="76">
        <v>0.49</v>
      </c>
      <c r="M9" s="29"/>
      <c r="N9" s="39">
        <f t="shared" ref="N9:N14" si="1">+ROUND((L9*H9)*C9,0)</f>
        <v>19600</v>
      </c>
      <c r="O9" s="56">
        <f t="shared" ref="O9:O14" si="2">+IF($S$4&gt;1,L9," ")</f>
        <v>0.49</v>
      </c>
      <c r="P9" s="29"/>
      <c r="Q9" s="39">
        <f t="shared" ref="Q9:Q14" si="3">IF($S$4&gt;1,ROUND(((AG9*O9)*C9),0)," ")</f>
        <v>20188</v>
      </c>
      <c r="R9" s="56">
        <f t="shared" ref="R9:R14" si="4">+IF($S$4&gt;2,O9," ")</f>
        <v>0.49</v>
      </c>
      <c r="S9" s="29"/>
      <c r="T9" s="36">
        <f t="shared" ref="T9:T14" si="5">IF($S$4&gt;2,ROUND(((AH9*R9)*C9),0)," ")</f>
        <v>20794</v>
      </c>
      <c r="U9" s="56">
        <f t="shared" ref="U9:U14" si="6">+IF($S$4&gt;3,R9," ")</f>
        <v>0.49</v>
      </c>
      <c r="V9" s="29"/>
      <c r="W9" s="39">
        <f t="shared" ref="W9:W14" si="7">+IF($S$4&gt;3,ROUND(((AI9*U9)*C9),0)," ")</f>
        <v>21417</v>
      </c>
      <c r="X9" s="56">
        <f t="shared" ref="X9:X14" si="8">+IF($S$4&gt;4,U9," ")</f>
        <v>0.49</v>
      </c>
      <c r="Y9" s="29"/>
      <c r="Z9" s="39">
        <f t="shared" ref="Z9:Z14" si="9">IF($S$4&gt;4,ROUND(((AJ9*X9)*C9),0)," ")</f>
        <v>22060</v>
      </c>
      <c r="AA9" s="126">
        <f t="shared" ref="AA9:AA14" si="10">ROUND(SUM(N9,Q9,T9,W9,Z9),0)</f>
        <v>104059</v>
      </c>
      <c r="AB9" s="261">
        <f>+N9*0.01</f>
        <v>196</v>
      </c>
      <c r="AC9" s="137">
        <f>+Q9*0.01</f>
        <v>201.88</v>
      </c>
      <c r="AD9" s="137">
        <f>+T9*0.01</f>
        <v>207.94</v>
      </c>
      <c r="AE9" s="137">
        <f>+W9*0.01</f>
        <v>214.17000000000002</v>
      </c>
      <c r="AF9" s="262">
        <f>+Z9*0.01</f>
        <v>220.6</v>
      </c>
      <c r="AG9" s="259">
        <f t="shared" ref="AG9:AG14" si="11">+IF($S$4&gt;1,H9*(1+$W$4),0)</f>
        <v>41200</v>
      </c>
      <c r="AH9" s="171">
        <f t="shared" ref="AH9:AH14" si="12">+IF($S$4&gt;2,ROUND(AG9*(1+$W$4),0),0)</f>
        <v>42436</v>
      </c>
      <c r="AI9" s="171">
        <f t="shared" ref="AI9:AI14" si="13">+IF($S$4&gt;3,ROUND(AH9*(1+$W$4),0),0)</f>
        <v>43709</v>
      </c>
      <c r="AJ9" s="260">
        <f t="shared" ref="AJ9:AJ14" si="14">+IF($S$4&gt;4,ROUND(AI9*(1+$W$4),0),0)</f>
        <v>45020</v>
      </c>
      <c r="AZ9" s="156">
        <v>9</v>
      </c>
      <c r="BA9" s="157">
        <v>1</v>
      </c>
      <c r="BB9" s="157" t="s">
        <v>16</v>
      </c>
      <c r="BC9" s="157">
        <v>8619</v>
      </c>
      <c r="BD9" s="157">
        <v>3000</v>
      </c>
      <c r="BE9" s="158">
        <v>0.15</v>
      </c>
      <c r="BF9" s="157">
        <v>0</v>
      </c>
      <c r="BG9" s="157"/>
      <c r="BH9" s="157" t="s">
        <v>46</v>
      </c>
      <c r="BI9" s="165"/>
      <c r="BJ9" t="s">
        <v>80</v>
      </c>
    </row>
    <row r="10" spans="1:62" x14ac:dyDescent="0.25">
      <c r="B10">
        <v>2</v>
      </c>
      <c r="C10" s="54">
        <v>1</v>
      </c>
      <c r="D10" s="13" t="s">
        <v>39</v>
      </c>
      <c r="E10" s="360"/>
      <c r="F10" s="361"/>
      <c r="G10" s="362"/>
      <c r="H10" s="247"/>
      <c r="I10" s="378" t="s">
        <v>80</v>
      </c>
      <c r="J10" s="379"/>
      <c r="K10" s="91"/>
      <c r="L10" s="76">
        <v>0</v>
      </c>
      <c r="M10" s="29"/>
      <c r="N10" s="39">
        <f t="shared" si="1"/>
        <v>0</v>
      </c>
      <c r="O10" s="56">
        <f t="shared" si="2"/>
        <v>0</v>
      </c>
      <c r="P10" s="29"/>
      <c r="Q10" s="39">
        <f t="shared" si="3"/>
        <v>0</v>
      </c>
      <c r="R10" s="56">
        <f t="shared" si="4"/>
        <v>0</v>
      </c>
      <c r="S10" s="29"/>
      <c r="T10" s="36">
        <f t="shared" si="5"/>
        <v>0</v>
      </c>
      <c r="U10" s="56">
        <f t="shared" si="6"/>
        <v>0</v>
      </c>
      <c r="V10" s="29"/>
      <c r="W10" s="39">
        <f t="shared" si="7"/>
        <v>0</v>
      </c>
      <c r="X10" s="56">
        <f t="shared" si="8"/>
        <v>0</v>
      </c>
      <c r="Y10" s="29"/>
      <c r="Z10" s="39">
        <f t="shared" si="9"/>
        <v>0</v>
      </c>
      <c r="AA10" s="126">
        <f t="shared" si="10"/>
        <v>0</v>
      </c>
      <c r="AB10" s="261">
        <f t="shared" ref="AB10:AB14" si="15">+N10*0.01</f>
        <v>0</v>
      </c>
      <c r="AC10" s="137">
        <f t="shared" ref="AC10:AC14" si="16">+Q10*0.01</f>
        <v>0</v>
      </c>
      <c r="AD10" s="137">
        <f t="shared" ref="AD10:AD14" si="17">+T10*0.01</f>
        <v>0</v>
      </c>
      <c r="AE10" s="137">
        <f t="shared" ref="AE10:AE14" si="18">+W10*0.01</f>
        <v>0</v>
      </c>
      <c r="AF10" s="262">
        <f t="shared" ref="AF10:AF14" si="19">+Z10*0.01</f>
        <v>0</v>
      </c>
      <c r="AG10" s="259">
        <f t="shared" si="11"/>
        <v>0</v>
      </c>
      <c r="AH10" s="171">
        <f t="shared" si="12"/>
        <v>0</v>
      </c>
      <c r="AI10" s="171">
        <f t="shared" si="13"/>
        <v>0</v>
      </c>
      <c r="AJ10" s="260">
        <f t="shared" si="14"/>
        <v>0</v>
      </c>
      <c r="AZ10" s="156">
        <v>10</v>
      </c>
      <c r="BA10" s="157">
        <v>2</v>
      </c>
      <c r="BB10" s="157" t="s">
        <v>263</v>
      </c>
      <c r="BC10" s="157">
        <v>8622</v>
      </c>
      <c r="BD10" s="157">
        <f t="shared" ref="BD10:BD24" si="20">+BD9+200</f>
        <v>3200</v>
      </c>
      <c r="BE10" s="158">
        <v>0.01</v>
      </c>
      <c r="BF10" s="157">
        <v>1</v>
      </c>
      <c r="BG10" s="157"/>
      <c r="BH10" s="157" t="s">
        <v>47</v>
      </c>
      <c r="BI10" s="166">
        <v>0.1</v>
      </c>
      <c r="BJ10" s="198">
        <v>1.05</v>
      </c>
    </row>
    <row r="11" spans="1:62" x14ac:dyDescent="0.25">
      <c r="B11">
        <v>3</v>
      </c>
      <c r="C11" s="54">
        <v>0</v>
      </c>
      <c r="D11" s="13" t="s">
        <v>39</v>
      </c>
      <c r="E11" s="360"/>
      <c r="F11" s="361"/>
      <c r="G11" s="362"/>
      <c r="H11" s="247">
        <v>0</v>
      </c>
      <c r="I11" s="378" t="s">
        <v>80</v>
      </c>
      <c r="J11" s="379"/>
      <c r="K11" s="91"/>
      <c r="L11" s="76">
        <v>0</v>
      </c>
      <c r="M11" s="29"/>
      <c r="N11" s="39">
        <f t="shared" si="1"/>
        <v>0</v>
      </c>
      <c r="O11" s="56">
        <f t="shared" si="2"/>
        <v>0</v>
      </c>
      <c r="P11" s="29"/>
      <c r="Q11" s="39">
        <f t="shared" si="3"/>
        <v>0</v>
      </c>
      <c r="R11" s="56">
        <f t="shared" si="4"/>
        <v>0</v>
      </c>
      <c r="S11" s="29"/>
      <c r="T11" s="36">
        <f t="shared" si="5"/>
        <v>0</v>
      </c>
      <c r="U11" s="56">
        <f t="shared" si="6"/>
        <v>0</v>
      </c>
      <c r="V11" s="29"/>
      <c r="W11" s="39">
        <f t="shared" si="7"/>
        <v>0</v>
      </c>
      <c r="X11" s="56">
        <f t="shared" si="8"/>
        <v>0</v>
      </c>
      <c r="Y11" s="29"/>
      <c r="Z11" s="39">
        <f t="shared" si="9"/>
        <v>0</v>
      </c>
      <c r="AA11" s="126">
        <f t="shared" si="10"/>
        <v>0</v>
      </c>
      <c r="AB11" s="261">
        <f t="shared" si="15"/>
        <v>0</v>
      </c>
      <c r="AC11" s="137">
        <f t="shared" si="16"/>
        <v>0</v>
      </c>
      <c r="AD11" s="137">
        <f t="shared" si="17"/>
        <v>0</v>
      </c>
      <c r="AE11" s="137">
        <f t="shared" si="18"/>
        <v>0</v>
      </c>
      <c r="AF11" s="262">
        <f t="shared" si="19"/>
        <v>0</v>
      </c>
      <c r="AG11" s="259">
        <f t="shared" si="11"/>
        <v>0</v>
      </c>
      <c r="AH11" s="171">
        <f t="shared" si="12"/>
        <v>0</v>
      </c>
      <c r="AI11" s="171">
        <f t="shared" si="13"/>
        <v>0</v>
      </c>
      <c r="AJ11" s="260">
        <f t="shared" si="14"/>
        <v>0</v>
      </c>
      <c r="AZ11" s="156">
        <v>12</v>
      </c>
      <c r="BA11" s="157">
        <v>3</v>
      </c>
      <c r="BB11" s="157" t="s">
        <v>264</v>
      </c>
      <c r="BC11" s="157">
        <f t="shared" ref="BC11:BC24" si="21">+ROUND(BC10*1.05,0)</f>
        <v>9053</v>
      </c>
      <c r="BD11" s="157">
        <f t="shared" si="20"/>
        <v>3400</v>
      </c>
      <c r="BE11" s="157"/>
      <c r="BF11" s="157">
        <v>2</v>
      </c>
      <c r="BG11" s="157"/>
      <c r="BH11" s="157"/>
      <c r="BI11" s="164">
        <v>0.2</v>
      </c>
      <c r="BJ11">
        <v>1.1000000000000001</v>
      </c>
    </row>
    <row r="12" spans="1:62" ht="15" customHeight="1" x14ac:dyDescent="0.25">
      <c r="B12">
        <v>4</v>
      </c>
      <c r="C12" s="54">
        <v>0</v>
      </c>
      <c r="D12" s="13" t="s">
        <v>39</v>
      </c>
      <c r="E12" s="360"/>
      <c r="F12" s="361"/>
      <c r="G12" s="362"/>
      <c r="H12" s="247">
        <v>0</v>
      </c>
      <c r="I12" s="378" t="s">
        <v>80</v>
      </c>
      <c r="J12" s="379"/>
      <c r="K12" s="91"/>
      <c r="L12" s="76">
        <v>0</v>
      </c>
      <c r="M12" s="29"/>
      <c r="N12" s="39">
        <f t="shared" si="1"/>
        <v>0</v>
      </c>
      <c r="O12" s="56">
        <f t="shared" si="2"/>
        <v>0</v>
      </c>
      <c r="P12" s="29"/>
      <c r="Q12" s="39">
        <f t="shared" si="3"/>
        <v>0</v>
      </c>
      <c r="R12" s="56">
        <f t="shared" si="4"/>
        <v>0</v>
      </c>
      <c r="S12" s="29"/>
      <c r="T12" s="36">
        <f t="shared" si="5"/>
        <v>0</v>
      </c>
      <c r="U12" s="56">
        <f t="shared" si="6"/>
        <v>0</v>
      </c>
      <c r="V12" s="29"/>
      <c r="W12" s="39">
        <f t="shared" si="7"/>
        <v>0</v>
      </c>
      <c r="X12" s="56">
        <f t="shared" si="8"/>
        <v>0</v>
      </c>
      <c r="Y12" s="29"/>
      <c r="Z12" s="39">
        <f t="shared" si="9"/>
        <v>0</v>
      </c>
      <c r="AA12" s="126">
        <f t="shared" si="10"/>
        <v>0</v>
      </c>
      <c r="AB12" s="261">
        <f t="shared" si="15"/>
        <v>0</v>
      </c>
      <c r="AC12" s="137">
        <f t="shared" si="16"/>
        <v>0</v>
      </c>
      <c r="AD12" s="137">
        <f t="shared" si="17"/>
        <v>0</v>
      </c>
      <c r="AE12" s="137">
        <f t="shared" si="18"/>
        <v>0</v>
      </c>
      <c r="AF12" s="262">
        <f t="shared" si="19"/>
        <v>0</v>
      </c>
      <c r="AG12" s="259">
        <f t="shared" si="11"/>
        <v>0</v>
      </c>
      <c r="AH12" s="171">
        <f t="shared" si="12"/>
        <v>0</v>
      </c>
      <c r="AI12" s="171">
        <f t="shared" si="13"/>
        <v>0</v>
      </c>
      <c r="AJ12" s="260">
        <f t="shared" si="14"/>
        <v>0</v>
      </c>
      <c r="AZ12" s="156"/>
      <c r="BA12" s="157">
        <v>4</v>
      </c>
      <c r="BB12" s="157" t="s">
        <v>17</v>
      </c>
      <c r="BC12" s="157">
        <f t="shared" si="21"/>
        <v>9506</v>
      </c>
      <c r="BD12" s="157">
        <f t="shared" si="20"/>
        <v>3600</v>
      </c>
      <c r="BE12" s="157"/>
      <c r="BF12" s="157">
        <v>3</v>
      </c>
      <c r="BG12" s="157"/>
      <c r="BH12" s="157"/>
      <c r="BI12" s="164">
        <v>0.22</v>
      </c>
      <c r="BJ12">
        <v>1.1499999999999999</v>
      </c>
    </row>
    <row r="13" spans="1:62" ht="15" customHeight="1" x14ac:dyDescent="0.25">
      <c r="B13">
        <v>5</v>
      </c>
      <c r="C13" s="54">
        <v>0</v>
      </c>
      <c r="D13" s="13" t="s">
        <v>39</v>
      </c>
      <c r="E13" s="360"/>
      <c r="F13" s="361"/>
      <c r="G13" s="362"/>
      <c r="H13" s="247">
        <v>0</v>
      </c>
      <c r="I13" s="378" t="s">
        <v>80</v>
      </c>
      <c r="J13" s="379"/>
      <c r="K13" s="91"/>
      <c r="L13" s="76">
        <v>0</v>
      </c>
      <c r="M13" s="29"/>
      <c r="N13" s="39">
        <f t="shared" si="1"/>
        <v>0</v>
      </c>
      <c r="O13" s="56">
        <f t="shared" si="2"/>
        <v>0</v>
      </c>
      <c r="P13" s="29"/>
      <c r="Q13" s="39">
        <f t="shared" si="3"/>
        <v>0</v>
      </c>
      <c r="R13" s="56">
        <f t="shared" si="4"/>
        <v>0</v>
      </c>
      <c r="S13" s="29"/>
      <c r="T13" s="36">
        <f t="shared" si="5"/>
        <v>0</v>
      </c>
      <c r="U13" s="56">
        <f t="shared" si="6"/>
        <v>0</v>
      </c>
      <c r="V13" s="29"/>
      <c r="W13" s="39">
        <f t="shared" si="7"/>
        <v>0</v>
      </c>
      <c r="X13" s="56">
        <f t="shared" si="8"/>
        <v>0</v>
      </c>
      <c r="Y13" s="29"/>
      <c r="Z13" s="39">
        <f t="shared" si="9"/>
        <v>0</v>
      </c>
      <c r="AA13" s="126">
        <f t="shared" si="10"/>
        <v>0</v>
      </c>
      <c r="AB13" s="261">
        <f t="shared" si="15"/>
        <v>0</v>
      </c>
      <c r="AC13" s="137">
        <f t="shared" si="16"/>
        <v>0</v>
      </c>
      <c r="AD13" s="137">
        <f t="shared" si="17"/>
        <v>0</v>
      </c>
      <c r="AE13" s="137">
        <f t="shared" si="18"/>
        <v>0</v>
      </c>
      <c r="AF13" s="262">
        <f t="shared" si="19"/>
        <v>0</v>
      </c>
      <c r="AG13" s="259">
        <f t="shared" si="11"/>
        <v>0</v>
      </c>
      <c r="AH13" s="171">
        <f t="shared" si="12"/>
        <v>0</v>
      </c>
      <c r="AI13" s="171">
        <f t="shared" si="13"/>
        <v>0</v>
      </c>
      <c r="AJ13" s="260">
        <f t="shared" si="14"/>
        <v>0</v>
      </c>
      <c r="AZ13" s="156"/>
      <c r="BA13" s="157">
        <v>5</v>
      </c>
      <c r="BB13" s="157" t="s">
        <v>18</v>
      </c>
      <c r="BC13" s="157">
        <f t="shared" si="21"/>
        <v>9981</v>
      </c>
      <c r="BD13" s="157">
        <f t="shared" si="20"/>
        <v>3800</v>
      </c>
      <c r="BE13" s="157"/>
      <c r="BF13" s="157">
        <v>4</v>
      </c>
      <c r="BG13" s="157"/>
      <c r="BH13" s="157"/>
      <c r="BI13" s="164">
        <v>0.3</v>
      </c>
      <c r="BJ13">
        <v>1.2</v>
      </c>
    </row>
    <row r="14" spans="1:62" ht="15" customHeight="1" thickBot="1" x14ac:dyDescent="0.3">
      <c r="B14">
        <v>6</v>
      </c>
      <c r="C14" s="54">
        <v>0</v>
      </c>
      <c r="D14" s="13" t="s">
        <v>39</v>
      </c>
      <c r="E14" s="360"/>
      <c r="F14" s="361"/>
      <c r="G14" s="362"/>
      <c r="H14" s="247">
        <v>0</v>
      </c>
      <c r="I14" s="378" t="s">
        <v>80</v>
      </c>
      <c r="J14" s="379"/>
      <c r="K14" s="91"/>
      <c r="L14" s="76">
        <v>0</v>
      </c>
      <c r="M14" s="29"/>
      <c r="N14" s="39">
        <f t="shared" si="1"/>
        <v>0</v>
      </c>
      <c r="O14" s="56">
        <f t="shared" si="2"/>
        <v>0</v>
      </c>
      <c r="P14" s="29"/>
      <c r="Q14" s="39">
        <f t="shared" si="3"/>
        <v>0</v>
      </c>
      <c r="R14" s="56">
        <f t="shared" si="4"/>
        <v>0</v>
      </c>
      <c r="S14" s="29"/>
      <c r="T14" s="36">
        <f t="shared" si="5"/>
        <v>0</v>
      </c>
      <c r="U14" s="56">
        <f t="shared" si="6"/>
        <v>0</v>
      </c>
      <c r="V14" s="29"/>
      <c r="W14" s="39">
        <f t="shared" si="7"/>
        <v>0</v>
      </c>
      <c r="X14" s="56">
        <f t="shared" si="8"/>
        <v>0</v>
      </c>
      <c r="Y14" s="29"/>
      <c r="Z14" s="39">
        <f t="shared" si="9"/>
        <v>0</v>
      </c>
      <c r="AA14" s="126">
        <f t="shared" si="10"/>
        <v>0</v>
      </c>
      <c r="AB14" s="261">
        <f t="shared" si="15"/>
        <v>0</v>
      </c>
      <c r="AC14" s="137">
        <f t="shared" si="16"/>
        <v>0</v>
      </c>
      <c r="AD14" s="137">
        <f t="shared" si="17"/>
        <v>0</v>
      </c>
      <c r="AE14" s="137">
        <f t="shared" si="18"/>
        <v>0</v>
      </c>
      <c r="AF14" s="262">
        <f t="shared" si="19"/>
        <v>0</v>
      </c>
      <c r="AG14" s="263">
        <f t="shared" si="11"/>
        <v>0</v>
      </c>
      <c r="AH14" s="264">
        <f t="shared" si="12"/>
        <v>0</v>
      </c>
      <c r="AI14" s="264">
        <f t="shared" si="13"/>
        <v>0</v>
      </c>
      <c r="AJ14" s="265">
        <f t="shared" si="14"/>
        <v>0</v>
      </c>
      <c r="AZ14" s="156"/>
      <c r="BA14" s="157"/>
      <c r="BB14" s="157" t="s">
        <v>19</v>
      </c>
      <c r="BC14" s="157">
        <f t="shared" si="21"/>
        <v>10480</v>
      </c>
      <c r="BD14" s="157">
        <f t="shared" si="20"/>
        <v>4000</v>
      </c>
      <c r="BE14" s="157"/>
      <c r="BF14" s="157">
        <v>5</v>
      </c>
      <c r="BG14" s="157"/>
      <c r="BH14" s="157"/>
      <c r="BI14" s="159"/>
    </row>
    <row r="15" spans="1:62" ht="15" customHeight="1" thickBot="1" x14ac:dyDescent="0.3">
      <c r="C15" s="7" t="s">
        <v>91</v>
      </c>
      <c r="L15" s="17"/>
      <c r="M15" s="9"/>
      <c r="N15" s="37">
        <f>SUM(N8:N14)</f>
        <v>19600</v>
      </c>
      <c r="O15" s="18"/>
      <c r="P15" s="9"/>
      <c r="Q15" s="37">
        <f>SUM(Q8:Q14)</f>
        <v>20188</v>
      </c>
      <c r="R15" s="18"/>
      <c r="S15" s="9"/>
      <c r="T15" s="37">
        <f>SUM(T8:T14)</f>
        <v>20794</v>
      </c>
      <c r="U15" s="18"/>
      <c r="V15" s="9"/>
      <c r="W15" s="37">
        <f>SUM(W8:W14)</f>
        <v>21417</v>
      </c>
      <c r="X15" s="18"/>
      <c r="Y15" s="9"/>
      <c r="Z15" s="37">
        <f>SUM(Z8:Z14)</f>
        <v>22060</v>
      </c>
      <c r="AA15" s="44">
        <f>SUM(AA8:AA14)</f>
        <v>104059</v>
      </c>
      <c r="AB15" s="140">
        <f>SUM(AB9:AB14)</f>
        <v>196</v>
      </c>
      <c r="AC15" s="141">
        <f>SUM(AC9:AC14)</f>
        <v>201.88</v>
      </c>
      <c r="AD15" s="141">
        <f>SUM(AD9:AD14)</f>
        <v>207.94</v>
      </c>
      <c r="AE15" s="141">
        <f>SUM(AE9:AE14)</f>
        <v>214.17000000000002</v>
      </c>
      <c r="AF15" s="142">
        <f>SUM(AF9:AF14)</f>
        <v>220.6</v>
      </c>
      <c r="AZ15" s="156"/>
      <c r="BA15" s="157"/>
      <c r="BB15" s="157" t="s">
        <v>20</v>
      </c>
      <c r="BC15" s="157">
        <f t="shared" si="21"/>
        <v>11004</v>
      </c>
      <c r="BD15" s="157">
        <f t="shared" si="20"/>
        <v>4200</v>
      </c>
      <c r="BE15" s="157"/>
      <c r="BF15" s="157">
        <v>6</v>
      </c>
      <c r="BG15" s="157"/>
      <c r="BH15" s="157"/>
      <c r="BI15" s="159"/>
    </row>
    <row r="16" spans="1:62" ht="15" customHeight="1" thickTop="1" x14ac:dyDescent="0.25">
      <c r="L16" s="18"/>
      <c r="M16" s="11"/>
      <c r="N16" s="38"/>
      <c r="O16" s="18"/>
      <c r="P16" s="11"/>
      <c r="Q16" s="38"/>
      <c r="R16" s="18"/>
      <c r="S16" s="11"/>
      <c r="T16" s="38"/>
      <c r="U16" s="18"/>
      <c r="V16" s="11"/>
      <c r="W16" s="38"/>
      <c r="X16" s="18"/>
      <c r="Y16" s="11"/>
      <c r="Z16" s="38"/>
      <c r="AA16" s="45"/>
      <c r="AF16" t="s">
        <v>80</v>
      </c>
      <c r="AZ16" s="156"/>
      <c r="BA16" s="157"/>
      <c r="BB16" s="157" t="s">
        <v>21</v>
      </c>
      <c r="BC16" s="157">
        <f t="shared" si="21"/>
        <v>11554</v>
      </c>
      <c r="BD16" s="157">
        <f t="shared" si="20"/>
        <v>4400</v>
      </c>
      <c r="BE16" s="157"/>
      <c r="BF16" s="157">
        <v>7</v>
      </c>
      <c r="BG16" s="157"/>
      <c r="BH16" s="157"/>
      <c r="BI16" s="159"/>
    </row>
    <row r="17" spans="1:62" ht="15" hidden="1" customHeight="1" x14ac:dyDescent="0.25">
      <c r="C17" s="7" t="s">
        <v>42</v>
      </c>
      <c r="L17" s="18"/>
      <c r="M17" s="11"/>
      <c r="N17" s="40" t="e">
        <f>+N15+#REF!</f>
        <v>#REF!</v>
      </c>
      <c r="O17" s="18"/>
      <c r="P17" s="11"/>
      <c r="Q17" s="40" t="e">
        <f>+Q15+#REF!</f>
        <v>#REF!</v>
      </c>
      <c r="R17" s="18"/>
      <c r="S17" s="11"/>
      <c r="T17" s="40" t="e">
        <f>+T15+#REF!</f>
        <v>#REF!</v>
      </c>
      <c r="U17" s="18"/>
      <c r="V17" s="11"/>
      <c r="W17" s="40" t="e">
        <f>+W15+#REF!</f>
        <v>#REF!</v>
      </c>
      <c r="X17" s="18"/>
      <c r="Y17" s="11"/>
      <c r="Z17" s="40" t="e">
        <f>+Z15+#REF!</f>
        <v>#REF!</v>
      </c>
      <c r="AA17" s="46" t="e">
        <f>+AA15+#REF!</f>
        <v>#REF!</v>
      </c>
      <c r="AB17" t="s">
        <v>322</v>
      </c>
      <c r="AZ17" s="156"/>
      <c r="BA17" s="157"/>
      <c r="BB17" s="157" t="s">
        <v>22</v>
      </c>
      <c r="BC17" s="157">
        <f t="shared" si="21"/>
        <v>12132</v>
      </c>
      <c r="BD17" s="157">
        <f t="shared" si="20"/>
        <v>4600</v>
      </c>
      <c r="BE17" s="157"/>
      <c r="BF17" s="157">
        <v>8</v>
      </c>
      <c r="BG17" s="157"/>
      <c r="BH17" s="157"/>
      <c r="BI17" s="159"/>
    </row>
    <row r="18" spans="1:62" ht="15" hidden="1" customHeight="1" x14ac:dyDescent="0.25">
      <c r="L18" s="18"/>
      <c r="M18" s="11"/>
      <c r="N18" s="38"/>
      <c r="O18" s="18"/>
      <c r="P18" s="11"/>
      <c r="Q18" s="38"/>
      <c r="R18" s="18"/>
      <c r="S18" s="11"/>
      <c r="T18" s="38"/>
      <c r="U18" s="18"/>
      <c r="V18" s="11"/>
      <c r="W18" s="38"/>
      <c r="X18" s="18"/>
      <c r="Y18" s="11"/>
      <c r="Z18" s="38"/>
      <c r="AA18" s="45"/>
      <c r="AZ18" s="156"/>
      <c r="BA18" s="157"/>
      <c r="BB18" s="157" t="s">
        <v>23</v>
      </c>
      <c r="BC18" s="157">
        <f t="shared" si="21"/>
        <v>12739</v>
      </c>
      <c r="BD18" s="157">
        <f t="shared" si="20"/>
        <v>4800</v>
      </c>
      <c r="BE18" s="157"/>
      <c r="BF18" s="157">
        <v>9</v>
      </c>
      <c r="BG18" s="157"/>
      <c r="BH18" s="157"/>
      <c r="BI18" s="159"/>
    </row>
    <row r="19" spans="1:62" ht="15" hidden="1" customHeight="1" x14ac:dyDescent="0.25">
      <c r="A19" t="s">
        <v>43</v>
      </c>
      <c r="B19" s="7" t="s">
        <v>44</v>
      </c>
      <c r="L19" s="18"/>
      <c r="M19" s="11"/>
      <c r="N19" s="38"/>
      <c r="O19" s="18"/>
      <c r="P19" s="11"/>
      <c r="Q19" s="38"/>
      <c r="R19" s="18"/>
      <c r="S19" s="11"/>
      <c r="T19" s="38"/>
      <c r="U19" s="18"/>
      <c r="V19" s="11"/>
      <c r="W19" s="38"/>
      <c r="X19" s="18"/>
      <c r="Y19" s="11"/>
      <c r="Z19" s="38"/>
      <c r="AA19" s="45"/>
      <c r="AZ19" s="156"/>
      <c r="BA19" s="157"/>
      <c r="BB19" s="157" t="s">
        <v>24</v>
      </c>
      <c r="BC19" s="157">
        <f t="shared" si="21"/>
        <v>13376</v>
      </c>
      <c r="BD19" s="157">
        <f t="shared" si="20"/>
        <v>5000</v>
      </c>
      <c r="BE19" s="157"/>
      <c r="BF19" s="157">
        <v>10</v>
      </c>
      <c r="BG19" s="157"/>
      <c r="BH19" s="157"/>
      <c r="BI19" s="159"/>
    </row>
    <row r="20" spans="1:62" ht="15" hidden="1" customHeight="1" x14ac:dyDescent="0.25">
      <c r="B20">
        <v>1</v>
      </c>
      <c r="C20" s="12" t="s">
        <v>92</v>
      </c>
      <c r="D20" s="13"/>
      <c r="E20" s="27" t="s">
        <v>45</v>
      </c>
      <c r="F20" s="28"/>
      <c r="G20" s="12"/>
      <c r="H20" s="13"/>
      <c r="I20" s="27"/>
      <c r="J20" s="27"/>
      <c r="K20" s="27"/>
      <c r="L20" s="53">
        <f>+VLOOKUP(O4,BB9:BC24,2,FALSE)</f>
        <v>9053</v>
      </c>
      <c r="M20" s="12"/>
      <c r="N20" s="36" t="e">
        <f>+#REF!</f>
        <v>#REF!</v>
      </c>
      <c r="O20" s="24"/>
      <c r="P20" s="12"/>
      <c r="Q20" s="36" t="e">
        <f>+#REF!</f>
        <v>#REF!</v>
      </c>
      <c r="R20" s="24"/>
      <c r="S20" s="12"/>
      <c r="T20" s="36" t="e">
        <f>+#REF!</f>
        <v>#REF!</v>
      </c>
      <c r="U20" s="24"/>
      <c r="V20" s="12"/>
      <c r="W20" s="36" t="e">
        <f>+#REF!</f>
        <v>#REF!</v>
      </c>
      <c r="X20" s="24"/>
      <c r="Y20" s="12"/>
      <c r="Z20" s="36" t="e">
        <f>+#REF!</f>
        <v>#REF!</v>
      </c>
      <c r="AA20" s="43" t="e">
        <f t="shared" ref="AA20:AA21" si="22">SUM(N20,Q20,T20,W20,Z20)</f>
        <v>#REF!</v>
      </c>
      <c r="AZ20" s="156"/>
      <c r="BA20" s="157"/>
      <c r="BB20" s="157" t="s">
        <v>25</v>
      </c>
      <c r="BC20" s="157">
        <f t="shared" si="21"/>
        <v>14045</v>
      </c>
      <c r="BD20" s="157">
        <f t="shared" si="20"/>
        <v>5200</v>
      </c>
      <c r="BE20" s="157"/>
      <c r="BF20" s="157"/>
      <c r="BG20" s="157"/>
      <c r="BH20" s="157"/>
      <c r="BI20" s="159"/>
    </row>
    <row r="21" spans="1:62" ht="15" hidden="1" customHeight="1" x14ac:dyDescent="0.25">
      <c r="B21">
        <v>2</v>
      </c>
      <c r="C21" s="13" t="s">
        <v>93</v>
      </c>
      <c r="D21" s="27"/>
      <c r="E21" s="27"/>
      <c r="F21" s="27"/>
      <c r="G21" s="27"/>
      <c r="H21" s="27"/>
      <c r="I21" s="27"/>
      <c r="J21" s="27"/>
      <c r="K21" s="27"/>
      <c r="L21" s="24"/>
      <c r="M21" s="12"/>
      <c r="N21" s="39">
        <f>+AB15</f>
        <v>196</v>
      </c>
      <c r="O21" s="24"/>
      <c r="P21" s="12"/>
      <c r="Q21" s="39">
        <f>+AC15</f>
        <v>201.88</v>
      </c>
      <c r="R21" s="24"/>
      <c r="S21" s="12"/>
      <c r="T21" s="39">
        <f>+AD15</f>
        <v>207.94</v>
      </c>
      <c r="U21" s="24"/>
      <c r="V21" s="12"/>
      <c r="W21" s="39">
        <f>+AE15</f>
        <v>214.17000000000002</v>
      </c>
      <c r="X21" s="24"/>
      <c r="Y21" s="12"/>
      <c r="Z21" s="39">
        <f>+AF15</f>
        <v>220.6</v>
      </c>
      <c r="AA21" s="43">
        <f t="shared" si="22"/>
        <v>1040.5899999999999</v>
      </c>
      <c r="AZ21" s="156"/>
      <c r="BA21" s="157"/>
      <c r="BB21" s="157" t="s">
        <v>26</v>
      </c>
      <c r="BC21" s="157">
        <f t="shared" si="21"/>
        <v>14747</v>
      </c>
      <c r="BD21" s="157">
        <f t="shared" si="20"/>
        <v>5400</v>
      </c>
      <c r="BE21" s="157"/>
      <c r="BF21" s="157"/>
      <c r="BG21" s="157"/>
      <c r="BH21" s="157"/>
      <c r="BI21" s="159"/>
    </row>
    <row r="22" spans="1:62" ht="15" hidden="1" customHeight="1" x14ac:dyDescent="0.25">
      <c r="C22" s="7" t="s">
        <v>48</v>
      </c>
      <c r="L22" s="18"/>
      <c r="M22" s="11"/>
      <c r="N22" s="40" t="e">
        <f>SUM(N20:N21)</f>
        <v>#REF!</v>
      </c>
      <c r="O22" s="18"/>
      <c r="P22" s="11"/>
      <c r="Q22" s="40" t="e">
        <f>SUM(Q20:Q21)</f>
        <v>#REF!</v>
      </c>
      <c r="R22" s="18"/>
      <c r="S22" s="11"/>
      <c r="T22" s="40" t="e">
        <f>SUM(T20:T21)</f>
        <v>#REF!</v>
      </c>
      <c r="U22" s="18"/>
      <c r="V22" s="11"/>
      <c r="W22" s="40" t="e">
        <f>SUM(W20:W21)</f>
        <v>#REF!</v>
      </c>
      <c r="X22" s="18"/>
      <c r="Y22" s="11"/>
      <c r="Z22" s="40" t="e">
        <f>SUM(Z20:Z21)</f>
        <v>#REF!</v>
      </c>
      <c r="AA22" s="46" t="e">
        <f>SUM(AA20:AA21)</f>
        <v>#REF!</v>
      </c>
      <c r="AZ22" s="156"/>
      <c r="BA22" s="157"/>
      <c r="BB22" s="157" t="s">
        <v>27</v>
      </c>
      <c r="BC22" s="157">
        <f t="shared" si="21"/>
        <v>15484</v>
      </c>
      <c r="BD22" s="157">
        <f t="shared" si="20"/>
        <v>5600</v>
      </c>
      <c r="BE22" s="157"/>
      <c r="BF22" s="157"/>
      <c r="BG22" s="157"/>
      <c r="BH22" s="157"/>
      <c r="BI22" s="159"/>
    </row>
    <row r="23" spans="1:62" ht="15" hidden="1" customHeight="1" x14ac:dyDescent="0.25">
      <c r="L23" s="18"/>
      <c r="M23" s="11"/>
      <c r="N23" s="38"/>
      <c r="O23" s="18"/>
      <c r="P23" s="11"/>
      <c r="Q23" s="38"/>
      <c r="R23" s="18"/>
      <c r="S23" s="11"/>
      <c r="T23" s="38"/>
      <c r="U23" s="18"/>
      <c r="V23" s="11"/>
      <c r="W23" s="38"/>
      <c r="X23" s="18"/>
      <c r="Y23" s="11"/>
      <c r="Z23" s="38"/>
      <c r="AA23" s="45"/>
      <c r="AZ23" s="156"/>
      <c r="BA23" s="157"/>
      <c r="BB23" s="157" t="s">
        <v>28</v>
      </c>
      <c r="BC23" s="157">
        <f t="shared" si="21"/>
        <v>16258</v>
      </c>
      <c r="BD23" s="157">
        <f t="shared" si="20"/>
        <v>5800</v>
      </c>
      <c r="BE23" s="157"/>
      <c r="BF23" s="157"/>
      <c r="BG23" s="157"/>
      <c r="BH23" s="157"/>
      <c r="BI23" s="159"/>
    </row>
    <row r="24" spans="1:62" ht="15.75" thickBot="1" x14ac:dyDescent="0.3">
      <c r="C24" s="7" t="s">
        <v>49</v>
      </c>
      <c r="L24" s="18"/>
      <c r="M24" s="11"/>
      <c r="N24" s="40">
        <f>+N15+AB15</f>
        <v>19796</v>
      </c>
      <c r="O24" s="18"/>
      <c r="P24" s="11"/>
      <c r="Q24" s="40">
        <f>+Q15+AC15</f>
        <v>20389.88</v>
      </c>
      <c r="R24" s="18"/>
      <c r="S24" s="11"/>
      <c r="T24" s="40">
        <f>+T15+AD15</f>
        <v>21001.94</v>
      </c>
      <c r="U24" s="18"/>
      <c r="V24" s="11"/>
      <c r="W24" s="40">
        <f>+W15+AE15</f>
        <v>21631.17</v>
      </c>
      <c r="X24" s="18"/>
      <c r="Y24" s="11"/>
      <c r="Z24" s="40">
        <f>+Z15+AF15</f>
        <v>22280.6</v>
      </c>
      <c r="AA24" s="40">
        <f>SUM(AA9:AA14)</f>
        <v>104059</v>
      </c>
      <c r="AZ24" s="160"/>
      <c r="BA24" s="161"/>
      <c r="BB24" s="161" t="s">
        <v>265</v>
      </c>
      <c r="BC24" s="161">
        <f t="shared" si="21"/>
        <v>17071</v>
      </c>
      <c r="BD24" s="161">
        <f t="shared" si="20"/>
        <v>6000</v>
      </c>
      <c r="BE24" s="161"/>
      <c r="BF24" s="161"/>
      <c r="BG24" s="161"/>
      <c r="BH24" s="161"/>
      <c r="BI24" s="197"/>
      <c r="BJ24">
        <v>1.04</v>
      </c>
    </row>
    <row r="25" spans="1:62" ht="15.75" thickTop="1" x14ac:dyDescent="0.25">
      <c r="B25">
        <v>6</v>
      </c>
      <c r="C25" s="12" t="s">
        <v>276</v>
      </c>
      <c r="D25" s="13"/>
      <c r="E25" s="27"/>
      <c r="F25" s="27"/>
      <c r="G25" s="27"/>
      <c r="H25" s="27"/>
      <c r="I25" s="27"/>
      <c r="J25" s="28"/>
      <c r="K25" s="13"/>
      <c r="L25" s="24"/>
      <c r="M25" s="12"/>
      <c r="N25" s="63">
        <v>6203</v>
      </c>
      <c r="O25" s="24"/>
      <c r="P25" s="12"/>
      <c r="Q25" s="63">
        <v>6451</v>
      </c>
      <c r="R25" s="24"/>
      <c r="S25" s="12"/>
      <c r="T25" s="63">
        <v>6699</v>
      </c>
      <c r="U25" s="24"/>
      <c r="V25" s="12"/>
      <c r="W25" s="63">
        <v>6947</v>
      </c>
      <c r="X25" s="24"/>
      <c r="Y25" s="12"/>
      <c r="Z25" s="63">
        <v>7195</v>
      </c>
      <c r="AA25" s="43">
        <f t="shared" ref="AA25" si="23">SUM(N25,Q25,T25,W25,Z25)</f>
        <v>33495</v>
      </c>
    </row>
    <row r="26" spans="1:62" x14ac:dyDescent="0.25">
      <c r="C26" s="7" t="s">
        <v>71</v>
      </c>
      <c r="L26" s="18"/>
      <c r="M26" s="11"/>
      <c r="N26" s="40">
        <f>SUM(N24:N25)</f>
        <v>25999</v>
      </c>
      <c r="O26" s="18"/>
      <c r="P26" s="11"/>
      <c r="Q26" s="40">
        <f>SUM(Q24:Q25)</f>
        <v>26840.880000000001</v>
      </c>
      <c r="R26" s="18"/>
      <c r="S26" s="11"/>
      <c r="T26" s="40">
        <f>SUM(T24:T25)</f>
        <v>27700.94</v>
      </c>
      <c r="U26" s="18"/>
      <c r="V26" s="11"/>
      <c r="W26" s="40">
        <f>SUM(W24:W25)</f>
        <v>28578.17</v>
      </c>
      <c r="X26" s="18"/>
      <c r="Y26" s="11"/>
      <c r="Z26" s="40">
        <f>SUM(Z24:Z25)</f>
        <v>29475.599999999999</v>
      </c>
      <c r="AA26" s="40">
        <f>SUM(AA24:AA25)</f>
        <v>137554</v>
      </c>
    </row>
    <row r="27" spans="1:62" x14ac:dyDescent="0.25">
      <c r="L27" s="18"/>
      <c r="M27" s="11"/>
      <c r="N27" s="38"/>
      <c r="O27" s="18"/>
      <c r="P27" s="11"/>
      <c r="Q27" s="38"/>
      <c r="R27" s="18"/>
      <c r="S27" s="11"/>
      <c r="T27" s="38"/>
      <c r="U27" s="18"/>
      <c r="V27" s="11"/>
      <c r="W27" s="38"/>
      <c r="X27" s="18"/>
      <c r="Y27" s="11"/>
      <c r="Z27" s="38"/>
      <c r="AA27" s="45"/>
    </row>
    <row r="28" spans="1:62" hidden="1" x14ac:dyDescent="0.25">
      <c r="A28" t="s">
        <v>72</v>
      </c>
      <c r="B28" s="7" t="s">
        <v>73</v>
      </c>
      <c r="L28" s="18"/>
      <c r="M28" s="11"/>
      <c r="N28" s="40" t="e">
        <f>ROUND(SUM(,#REF!,#REF!,#REF!,N24,N26),0)</f>
        <v>#REF!</v>
      </c>
      <c r="O28" s="18"/>
      <c r="P28" s="11"/>
      <c r="Q28" s="40" t="e">
        <f>ROUND(SUM(,#REF!,#REF!,#REF!,Q24,Q26),0)</f>
        <v>#REF!</v>
      </c>
      <c r="R28" s="18"/>
      <c r="S28" s="11"/>
      <c r="T28" s="40" t="e">
        <f>ROUND(SUM(,#REF!,#REF!,#REF!,T24,T26),0)</f>
        <v>#REF!</v>
      </c>
      <c r="U28" s="18"/>
      <c r="V28" s="11"/>
      <c r="W28" s="40" t="e">
        <f>ROUND(SUM(,#REF!,#REF!,#REF!,W24,W26),0)</f>
        <v>#REF!</v>
      </c>
      <c r="X28" s="18"/>
      <c r="Y28" s="11"/>
      <c r="Z28" s="40" t="e">
        <f>ROUND(SUM(,#REF!,#REF!,#REF!,Z24,Z26),0)</f>
        <v>#REF!</v>
      </c>
      <c r="AA28" s="46" t="e">
        <f>SUM(#REF!,#REF!,#REF!,AA24,AA26)</f>
        <v>#REF!</v>
      </c>
    </row>
    <row r="29" spans="1:62" hidden="1" x14ac:dyDescent="0.25">
      <c r="L29" s="18"/>
      <c r="M29" s="11"/>
      <c r="N29" s="38"/>
      <c r="O29" s="18"/>
      <c r="P29" s="11"/>
      <c r="Q29" s="38"/>
      <c r="R29" s="18"/>
      <c r="S29" s="11"/>
      <c r="T29" s="38"/>
      <c r="U29" s="18"/>
      <c r="V29" s="11"/>
      <c r="W29" s="38"/>
      <c r="X29" s="18"/>
      <c r="Y29" s="11"/>
      <c r="Z29" s="38"/>
      <c r="AA29" s="45"/>
    </row>
    <row r="30" spans="1:62" hidden="1" x14ac:dyDescent="0.25">
      <c r="A30" t="s">
        <v>74</v>
      </c>
      <c r="B30" s="7" t="s">
        <v>86</v>
      </c>
      <c r="L30" s="18"/>
      <c r="M30" s="11" t="s">
        <v>87</v>
      </c>
      <c r="N30" s="38"/>
      <c r="O30" s="18"/>
      <c r="P30" s="11" t="s">
        <v>87</v>
      </c>
      <c r="Q30" s="38"/>
      <c r="R30" s="18"/>
      <c r="S30" s="11" t="s">
        <v>87</v>
      </c>
      <c r="T30" s="38"/>
      <c r="U30" s="18"/>
      <c r="V30" s="11" t="s">
        <v>87</v>
      </c>
      <c r="W30" s="38"/>
      <c r="X30" s="18"/>
      <c r="Y30" s="11" t="s">
        <v>87</v>
      </c>
      <c r="Z30" s="38"/>
      <c r="AA30" s="45"/>
    </row>
    <row r="31" spans="1:62" hidden="1" x14ac:dyDescent="0.25">
      <c r="C31" t="s">
        <v>75</v>
      </c>
      <c r="H31" s="66">
        <v>0.46</v>
      </c>
      <c r="L31" s="18"/>
      <c r="M31" s="51" t="e">
        <f>+IF($H$31&gt;0,N28-#REF!-N25-IF(#REF!="Y",#REF!,0)-IF(#REF!="Y",#REF!,0)-IF(#REF!="Y",#REF!,0)-IF(#REF!="Y",#REF!,0)-IF(#REF!&gt;25000,#REF!-25000,0)-IF(#REF!&gt;25000,#REF!-25000,0)-IF(#REF!&gt;25000,#REF!-25000,0)-IF(#REF!&gt;25000,#REF!-25000,0)-IF(#REF!&gt;25000,#REF!-25000,0)-IF(#REF!&gt;25000,#REF!-25000,0)-IF(#REF!&gt;25000,#REF!-25000,0)-IF(#REF!&gt;25000,#REF!-25000,0)-IF(#REF!&gt;25000,#REF!-25000,0)-IF(#REF!&gt;25000,#REF!-25000,0)-IF(#REF!&gt;25000,#REF!-25000,0)-IF(#REF!&gt;25000,#REF!-25000,0)-IF(#REF!&gt;25000,#REF!-25000,0)-IF(#REF!&gt;25000,#REF!-25000,0)-IF(#REF!&gt;25000,#REF!-25000,0)-IF(#REF!&gt;25000,#REF!-25000,0)-IF(#REF!&gt;25000,#REF!-25000,0)-IF(#REF!&gt;25000,#REF!-25000,0)-IF(#REF!&gt;25000,#REF!-25000,0)-IF(#REF!&gt;25000,#REF!-25000,0),0)</f>
        <v>#REF!</v>
      </c>
      <c r="N31" s="40" t="e">
        <f>+ROUND(IF(H31&gt;0,M31*H31,0),0)</f>
        <v>#REF!</v>
      </c>
      <c r="O31" s="18"/>
      <c r="P31" s="51" t="e">
        <f>IF($S$4&gt;1,IF(H31&gt;0,+Q28-#REF!-Q25-IF(#REF!="Y",#REF!,0)-IF(#REF!="Y",#REF!,0)-IF(#REF!="Y",#REF!,0)-IF(#REF!="Y",#REF!,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IF(#REF!&gt;25000,#REF!,IF(#REF!+#REF!&gt;25000,(#REF!+#REF!)-25000,0)),0),0)</f>
        <v>#REF!</v>
      </c>
      <c r="Q31" s="40" t="e">
        <f>+IF($S$4&gt;1,IF($H$31&gt;0,P31*$H$31,0),0)</f>
        <v>#REF!</v>
      </c>
      <c r="R31" s="18"/>
      <c r="S31" s="51" t="e">
        <f>IF($S$4&gt;2,IF(H31&gt;0,+T28-#REF!-T25-IF(#REF!="Y",#REF!,0)-IF(#REF!="Y",#REF!,0)-IF(#REF!="Y",#REF!,0)-IF(#REF!="Y",#REF!,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IF(#REF!+#REF!&gt;25000,#REF!,IF(#REF!+#REF!+#REF!&gt;25000,(#REF!+#REF!+#REF!)-25000,0)),0),0)</f>
        <v>#REF!</v>
      </c>
      <c r="T31" s="40" t="e">
        <f>+IF($S$4&gt;1,IF($H$31&gt;0,S31*$H$31,0),0)</f>
        <v>#REF!</v>
      </c>
      <c r="U31" s="18"/>
      <c r="V31" s="51" t="e">
        <f>IF($S$4&gt;3,IF(H31&gt;0,+W28-#REF!-W25-IF(#REF!="Y",#REF!,0)-IF(#REF!="Y",#REF!,0)-IF(#REF!="Y",#REF!,0)-IF(#REF!="Y",#REF!,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IF(#REF!+#REF!+#REF!&gt;25000,#REF!,IF(#REF!+#REF!+#REF!+#REF!&gt;25000,(#REF!+#REF!+#REF!+#REF!)-25000,0)),0),0)</f>
        <v>#REF!</v>
      </c>
      <c r="W31" s="40" t="e">
        <f>+IF($S$4&gt;1,IF($H$31&gt;0,V31*$H$31,0),0)</f>
        <v>#REF!</v>
      </c>
      <c r="X31" s="18"/>
      <c r="Y31" s="51" t="e">
        <f>IF($S$4&gt;4,IF(N31&gt;0,+Z28-#REF!-Z25-IF(#REF!="Y",#REF!,0)-IF(#REF!="Y",#REF!,0)-IF(#REF!="Y",#REF!,0)-IF(#REF!="Y",#REF!,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IF(#REF!+#REF!+#REF!+#REF!&gt;25000,#REF!,IF(#REF!+#REF!+#REF!+#REF!+#REF!&gt;25000,(#REF!+#REF!+#REF!+#REF!+#REF!)-25000,0)),0),0)</f>
        <v>#REF!</v>
      </c>
      <c r="Z31" s="40" t="e">
        <f>+IF($S$4&gt;1,IF($H$31&gt;0,Y31*$H$31,0),0)</f>
        <v>#REF!</v>
      </c>
      <c r="AA31" s="44" t="e">
        <f t="shared" ref="AA31:AA36" si="24">SUM(N31,Q31,T31,W31,Z31)</f>
        <v>#REF!</v>
      </c>
    </row>
    <row r="32" spans="1:62" hidden="1" x14ac:dyDescent="0.25">
      <c r="D32" t="s">
        <v>76</v>
      </c>
      <c r="H32" s="66"/>
      <c r="L32" s="18"/>
      <c r="M32" s="11"/>
      <c r="N32" s="37">
        <f>+ROUND(IF(H32&gt;0,N28*$H$32,0),0)</f>
        <v>0</v>
      </c>
      <c r="O32" s="18"/>
      <c r="P32" s="11"/>
      <c r="Q32" s="37">
        <f>IF(S4&gt;1,IF(H32&gt;0,Q28*$H$32,0),0)</f>
        <v>0</v>
      </c>
      <c r="R32" s="18"/>
      <c r="S32" s="11"/>
      <c r="T32" s="37">
        <f>+IF(S4&gt;2,IF(H32&gt;0,T28*$H$32,0),0)</f>
        <v>0</v>
      </c>
      <c r="U32" s="18"/>
      <c r="V32" s="11"/>
      <c r="W32" s="37">
        <f>+IF(S4&gt;3,IF(H32&gt;0,W28*$H$32,0),0)</f>
        <v>0</v>
      </c>
      <c r="X32" s="18"/>
      <c r="Y32" s="11"/>
      <c r="Z32" s="37">
        <f>+IF(S4&gt;4,IF(H32&gt;0,Z28*$H$32,0),0)</f>
        <v>0</v>
      </c>
      <c r="AA32" s="44">
        <f t="shared" si="24"/>
        <v>0</v>
      </c>
    </row>
    <row r="33" spans="1:27" hidden="1" x14ac:dyDescent="0.25">
      <c r="C33" s="7" t="s">
        <v>267</v>
      </c>
      <c r="D33" s="123"/>
      <c r="F33" t="str">
        <f>+IF(D33&lt;=0.3," ",0.42857)</f>
        <v xml:space="preserve"> </v>
      </c>
      <c r="H33" s="124" t="str">
        <f>+IF(D33&gt;0,(D33/(1-D33))," ")</f>
        <v xml:space="preserve"> </v>
      </c>
      <c r="L33" s="18"/>
      <c r="M33" s="11"/>
      <c r="N33" s="37">
        <f>+ROUND(IF(D33&gt;0,N28*$H$33,0),0)</f>
        <v>0</v>
      </c>
      <c r="O33" s="18"/>
      <c r="P33" s="11"/>
      <c r="Q33" s="37">
        <f>IF(S4&gt;1,IF(D33&gt;0,Q28*$H$33,0),0)</f>
        <v>0</v>
      </c>
      <c r="R33" s="18"/>
      <c r="S33" s="11"/>
      <c r="T33" s="37">
        <f>+IF($S$4&gt;2,IF(D33&gt;0,T28*$H$33,0),0)</f>
        <v>0</v>
      </c>
      <c r="U33" s="18"/>
      <c r="V33" s="11"/>
      <c r="W33" s="37">
        <f>+IF($S$4&gt;3,IF(D33&gt;0,W28*$H$33,0),0)</f>
        <v>0</v>
      </c>
      <c r="X33" s="18"/>
      <c r="Y33" s="11"/>
      <c r="Z33" s="37">
        <f>+IF($S$4&gt;4,IF(D33&gt;0,Z28*$H$33,0),0)</f>
        <v>0</v>
      </c>
      <c r="AA33" s="44">
        <f t="shared" si="24"/>
        <v>0</v>
      </c>
    </row>
    <row r="34" spans="1:27" hidden="1" x14ac:dyDescent="0.25">
      <c r="C34" s="7" t="s">
        <v>77</v>
      </c>
      <c r="F34" s="7" t="s">
        <v>324</v>
      </c>
      <c r="L34" s="18"/>
      <c r="M34" s="11"/>
      <c r="N34" s="88" t="e">
        <f>SUM(N31:N33)</f>
        <v>#REF!</v>
      </c>
      <c r="O34" s="23"/>
      <c r="P34" s="5"/>
      <c r="Q34" s="88" t="e">
        <f>SUM(Q31:Q33)</f>
        <v>#REF!</v>
      </c>
      <c r="R34" s="23"/>
      <c r="S34" s="5"/>
      <c r="T34" s="88" t="e">
        <f>SUM(T31:T33)</f>
        <v>#REF!</v>
      </c>
      <c r="U34" s="23"/>
      <c r="V34" s="5"/>
      <c r="W34" s="88" t="e">
        <f>SUM(W31:W33)</f>
        <v>#REF!</v>
      </c>
      <c r="X34" s="23"/>
      <c r="Y34" s="5"/>
      <c r="Z34" s="88" t="e">
        <f>SUM(Z31:Z33)</f>
        <v>#REF!</v>
      </c>
      <c r="AA34" s="48" t="e">
        <f t="shared" si="24"/>
        <v>#REF!</v>
      </c>
    </row>
    <row r="35" spans="1:27" hidden="1" x14ac:dyDescent="0.25">
      <c r="L35" s="18"/>
      <c r="M35" s="11"/>
      <c r="N35" s="38"/>
      <c r="O35" s="18"/>
      <c r="P35" s="11"/>
      <c r="Q35" s="38"/>
      <c r="R35" s="18"/>
      <c r="S35" s="11"/>
      <c r="T35" s="38"/>
      <c r="U35" s="18"/>
      <c r="V35" s="11"/>
      <c r="W35" s="38"/>
      <c r="X35" s="18"/>
      <c r="Y35" s="11"/>
      <c r="Z35" s="38"/>
      <c r="AA35" s="45"/>
    </row>
    <row r="36" spans="1:27" ht="15.75" hidden="1" thickBot="1" x14ac:dyDescent="0.3">
      <c r="A36" t="s">
        <v>78</v>
      </c>
      <c r="B36" s="7" t="s">
        <v>79</v>
      </c>
      <c r="L36" s="21"/>
      <c r="M36" s="22"/>
      <c r="N36" s="42" t="e">
        <f>ROUND(SUM(N28,N34),0)</f>
        <v>#REF!</v>
      </c>
      <c r="O36" s="21"/>
      <c r="P36" s="22"/>
      <c r="Q36" s="42" t="e">
        <f>ROUND(IF(S4&gt;1,SUM(Q28,Q34),0),0)</f>
        <v>#REF!</v>
      </c>
      <c r="R36" s="21"/>
      <c r="S36" s="22"/>
      <c r="T36" s="42" t="e">
        <f>ROUND(IF(S4&gt;2,SUM(T28,T34),0),0)</f>
        <v>#REF!</v>
      </c>
      <c r="U36" s="21"/>
      <c r="V36" s="22"/>
      <c r="W36" s="42" t="e">
        <f>ROUND(IF(S4&gt;3,SUM(W28,W34),0),0)</f>
        <v>#REF!</v>
      </c>
      <c r="X36" s="21"/>
      <c r="Y36" s="22"/>
      <c r="Z36" s="42" t="e">
        <f>ROUND(IF(S4&gt;4,SUM(Z28,Z34),0),0)</f>
        <v>#REF!</v>
      </c>
      <c r="AA36" s="49" t="e">
        <f t="shared" si="24"/>
        <v>#REF!</v>
      </c>
    </row>
    <row r="37" spans="1:27" hidden="1" x14ac:dyDescent="0.25"/>
    <row r="38" spans="1:27" hidden="1" x14ac:dyDescent="0.25"/>
    <row r="39" spans="1:27" hidden="1" x14ac:dyDescent="0.25"/>
    <row r="40" spans="1:27" hidden="1" x14ac:dyDescent="0.25"/>
    <row r="41" spans="1:27" hidden="1" x14ac:dyDescent="0.25"/>
    <row r="43" spans="1:27" ht="21" x14ac:dyDescent="0.35">
      <c r="D43" s="266" t="s">
        <v>437</v>
      </c>
      <c r="E43" s="267"/>
      <c r="F43" s="267"/>
      <c r="G43" s="267"/>
      <c r="H43" s="267"/>
      <c r="I43" s="267"/>
      <c r="J43" s="267"/>
      <c r="K43" s="121"/>
      <c r="L43" s="121"/>
      <c r="M43" s="121"/>
      <c r="N43" s="121"/>
    </row>
  </sheetData>
  <sheetProtection algorithmName="SHA-512" hashValue="OISJfEIOGnvhPqsJNM56wgrO2Y0vfwgpkqzYHDJYsVxn7jBTI2hB0KHryICU7neHuPBXI1ZyTa8l52Bl1ck37Q==" saltValue="cjNSGQmCw/mMHofxUTI0Rg==" spinCount="100000" sheet="1" objects="1" scenarios="1"/>
  <mergeCells count="25">
    <mergeCell ref="E12:G12"/>
    <mergeCell ref="E13:G13"/>
    <mergeCell ref="AB7:AF7"/>
    <mergeCell ref="E14:G14"/>
    <mergeCell ref="I13:J13"/>
    <mergeCell ref="I14:J14"/>
    <mergeCell ref="I12:J12"/>
    <mergeCell ref="E11:G11"/>
    <mergeCell ref="AG7:AJ7"/>
    <mergeCell ref="B8:D8"/>
    <mergeCell ref="E9:G9"/>
    <mergeCell ref="E10:G10"/>
    <mergeCell ref="I11:J11"/>
    <mergeCell ref="L7:N7"/>
    <mergeCell ref="O7:Q7"/>
    <mergeCell ref="R7:T7"/>
    <mergeCell ref="U7:W7"/>
    <mergeCell ref="X7:Z7"/>
    <mergeCell ref="I10:J10"/>
    <mergeCell ref="I9:J9"/>
    <mergeCell ref="A1:B1"/>
    <mergeCell ref="D1:AA1"/>
    <mergeCell ref="D2:Q2"/>
    <mergeCell ref="T2:X2"/>
    <mergeCell ref="E4:K4"/>
  </mergeCells>
  <dataValidations count="9">
    <dataValidation allowBlank="1" showInputMessage="1" showErrorMessage="1" prompt="Short name of the Proposal" sqref="D2:Q2"/>
    <dataValidation allowBlank="1" showInputMessage="1" showErrorMessage="1" prompt="Who is the sponor of the Propsal_x000a_" sqref="T2:X2"/>
    <dataValidation allowBlank="1" showInputMessage="1" showErrorMessage="1" prompt="What is the Due Date on the RFP" sqref="AA2"/>
    <dataValidation allowBlank="1" showInputMessage="1" showErrorMessage="1" prompt="% Effort during the PI's appointment period" sqref="U9:U14 X9:X14 R9:R14 O9:O14"/>
    <dataValidation allowBlank="1" showInputMessage="1" showErrorMessage="1" prompt="% Salary Increase by Year" sqref="W4"/>
    <dataValidation type="list" allowBlank="1" showInputMessage="1" showErrorMessage="1" promptTitle="Enter whole number 1-5" prompt=" " sqref="S4">
      <formula1>$BA$9:$BA$13</formula1>
    </dataValidation>
    <dataValidation type="list" allowBlank="1" showInputMessage="1" showErrorMessage="1" sqref="C9:C14">
      <formula1>$BF$9:$BF$18</formula1>
    </dataValidation>
    <dataValidation type="list" allowBlank="1" showInputMessage="1" showErrorMessage="1" sqref="D33">
      <formula1>$BI$9:$BI$13</formula1>
    </dataValidation>
    <dataValidation type="list" allowBlank="1" showInputMessage="1" showErrorMessage="1" promptTitle=" " prompt="Pick from Drop Down List" sqref="O4">
      <formula1>$BB$9:$BB$24</formula1>
    </dataValidation>
  </dataValidations>
  <pageMargins left="0.5" right="0.2" top="0.2" bottom="0.25" header="0.3" footer="0.3"/>
  <pageSetup scale="51" fitToHeight="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TR!$B$11:$R$11</xm:f>
          </x14:formula1>
          <xm:sqref>E9:G14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2"/>
  <sheetViews>
    <sheetView zoomScaleNormal="100" workbookViewId="0">
      <selection activeCell="I30" sqref="I30"/>
    </sheetView>
  </sheetViews>
  <sheetFormatPr defaultRowHeight="15" x14ac:dyDescent="0.25"/>
  <sheetData>
    <row r="1" spans="1:16" x14ac:dyDescent="0.25">
      <c r="A1" s="7" t="s">
        <v>125</v>
      </c>
    </row>
    <row r="3" spans="1:16" x14ac:dyDescent="0.25">
      <c r="A3" s="7" t="s">
        <v>139</v>
      </c>
    </row>
    <row r="4" spans="1:16" x14ac:dyDescent="0.25">
      <c r="A4" t="s">
        <v>80</v>
      </c>
      <c r="B4" s="70" t="s">
        <v>126</v>
      </c>
    </row>
    <row r="5" spans="1:16" x14ac:dyDescent="0.25">
      <c r="A5" t="s">
        <v>80</v>
      </c>
      <c r="B5" s="72" t="s">
        <v>134</v>
      </c>
    </row>
    <row r="6" spans="1:16" x14ac:dyDescent="0.25">
      <c r="B6" s="72"/>
    </row>
    <row r="7" spans="1:16" x14ac:dyDescent="0.25">
      <c r="B7" s="70"/>
    </row>
    <row r="8" spans="1:16" x14ac:dyDescent="0.25">
      <c r="A8" s="7" t="s">
        <v>141</v>
      </c>
      <c r="B8" s="70"/>
    </row>
    <row r="9" spans="1:16" x14ac:dyDescent="0.25">
      <c r="A9" t="s">
        <v>80</v>
      </c>
      <c r="B9" s="70" t="s">
        <v>127</v>
      </c>
    </row>
    <row r="10" spans="1:16" x14ac:dyDescent="0.25">
      <c r="A10" t="s">
        <v>80</v>
      </c>
      <c r="B10" s="70" t="s">
        <v>128</v>
      </c>
    </row>
    <row r="11" spans="1:16" x14ac:dyDescent="0.25">
      <c r="A11" t="s">
        <v>80</v>
      </c>
      <c r="B11" s="71" t="s">
        <v>129</v>
      </c>
    </row>
    <row r="12" spans="1:16" x14ac:dyDescent="0.25">
      <c r="A12" t="s">
        <v>80</v>
      </c>
      <c r="B12" s="70" t="s">
        <v>130</v>
      </c>
    </row>
    <row r="13" spans="1:16" x14ac:dyDescent="0.25">
      <c r="A13" t="s">
        <v>80</v>
      </c>
      <c r="C13" s="71" t="s">
        <v>131</v>
      </c>
    </row>
    <row r="14" spans="1:16" x14ac:dyDescent="0.25">
      <c r="A14" t="s">
        <v>80</v>
      </c>
      <c r="B14" s="70" t="s">
        <v>135</v>
      </c>
    </row>
    <row r="15" spans="1:16" x14ac:dyDescent="0.25">
      <c r="B15" s="71" t="s">
        <v>136</v>
      </c>
    </row>
    <row r="16" spans="1:16" x14ac:dyDescent="0.25">
      <c r="C16" s="74" t="s">
        <v>132</v>
      </c>
      <c r="D16" s="75"/>
      <c r="E16" s="75"/>
      <c r="F16" s="75"/>
      <c r="G16" s="75"/>
      <c r="H16" s="75"/>
      <c r="I16" s="75"/>
      <c r="J16" s="75"/>
      <c r="K16" s="75"/>
      <c r="L16" s="75"/>
      <c r="M16" s="75"/>
      <c r="N16" s="75"/>
      <c r="O16" s="75"/>
      <c r="P16" s="75"/>
    </row>
    <row r="17" spans="1:16" x14ac:dyDescent="0.25">
      <c r="C17" s="75" t="s">
        <v>133</v>
      </c>
      <c r="D17" s="75"/>
      <c r="E17" s="75"/>
      <c r="F17" s="75"/>
      <c r="G17" s="75"/>
      <c r="H17" s="75"/>
      <c r="I17" s="75"/>
      <c r="J17" s="75"/>
      <c r="K17" s="75"/>
      <c r="L17" s="75"/>
      <c r="M17" s="75"/>
      <c r="N17" s="75"/>
      <c r="O17" s="75"/>
      <c r="P17" s="75"/>
    </row>
    <row r="19" spans="1:16" x14ac:dyDescent="0.25">
      <c r="B19" s="72"/>
    </row>
    <row r="20" spans="1:16" x14ac:dyDescent="0.25">
      <c r="A20" s="7" t="s">
        <v>138</v>
      </c>
      <c r="B20" s="72"/>
    </row>
    <row r="21" spans="1:16" x14ac:dyDescent="0.25">
      <c r="A21">
        <v>7</v>
      </c>
      <c r="B21" s="73" t="s">
        <v>140</v>
      </c>
    </row>
    <row r="22" spans="1:16" x14ac:dyDescent="0.25">
      <c r="A22">
        <v>8</v>
      </c>
      <c r="B22" t="s">
        <v>137</v>
      </c>
    </row>
  </sheetData>
  <pageMargins left="0.7" right="0.7"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51"/>
  <sheetViews>
    <sheetView workbookViewId="0">
      <selection activeCell="D6" sqref="D6"/>
    </sheetView>
  </sheetViews>
  <sheetFormatPr defaultRowHeight="15" x14ac:dyDescent="0.25"/>
  <cols>
    <col min="1" max="6" width="9.140625" style="78"/>
  </cols>
  <sheetData>
    <row r="1" spans="1:14" x14ac:dyDescent="0.25">
      <c r="A1" s="77"/>
      <c r="B1" s="77"/>
    </row>
    <row r="3" spans="1:14" x14ac:dyDescent="0.25">
      <c r="B3" s="78" t="s">
        <v>80</v>
      </c>
      <c r="E3" s="78" t="s">
        <v>142</v>
      </c>
      <c r="F3" s="78" t="s">
        <v>143</v>
      </c>
    </row>
    <row r="4" spans="1:14" x14ac:dyDescent="0.25">
      <c r="B4" s="78" t="s">
        <v>80</v>
      </c>
      <c r="E4" s="79">
        <v>0.01</v>
      </c>
      <c r="F4" s="80">
        <f>+E4*$B$7</f>
        <v>1.7333333333333334</v>
      </c>
    </row>
    <row r="5" spans="1:14" x14ac:dyDescent="0.25">
      <c r="B5" s="78">
        <v>12</v>
      </c>
      <c r="C5" s="78">
        <v>10</v>
      </c>
      <c r="D5" s="78">
        <v>9</v>
      </c>
      <c r="E5" s="79">
        <v>0.02</v>
      </c>
      <c r="F5" s="80">
        <f t="shared" ref="F5:F43" si="0">+E5*$B$7</f>
        <v>3.4666666666666668</v>
      </c>
    </row>
    <row r="6" spans="1:14" x14ac:dyDescent="0.25">
      <c r="A6" s="78" t="s">
        <v>144</v>
      </c>
      <c r="B6" s="81">
        <f>52*40</f>
        <v>2080</v>
      </c>
      <c r="C6" s="81">
        <v>1733</v>
      </c>
      <c r="D6" s="81">
        <f>+(B6/12)*9</f>
        <v>1560</v>
      </c>
      <c r="E6" s="79">
        <v>0.03</v>
      </c>
      <c r="F6" s="80">
        <f t="shared" si="0"/>
        <v>5.2</v>
      </c>
    </row>
    <row r="7" spans="1:14" x14ac:dyDescent="0.25">
      <c r="A7" s="78" t="s">
        <v>145</v>
      </c>
      <c r="B7" s="82">
        <f>+B6/12</f>
        <v>173.33333333333334</v>
      </c>
      <c r="C7" s="82">
        <f>+C6/10</f>
        <v>173.3</v>
      </c>
      <c r="D7" s="82">
        <f>+D6/9</f>
        <v>173.33333333333334</v>
      </c>
      <c r="E7" s="79">
        <v>0.04</v>
      </c>
      <c r="F7" s="80">
        <f t="shared" si="0"/>
        <v>6.9333333333333336</v>
      </c>
    </row>
    <row r="8" spans="1:14" x14ac:dyDescent="0.25">
      <c r="A8" s="78" t="s">
        <v>146</v>
      </c>
      <c r="B8" s="78">
        <v>40</v>
      </c>
      <c r="C8" s="78">
        <v>40</v>
      </c>
      <c r="D8" s="78">
        <v>40</v>
      </c>
      <c r="E8" s="79">
        <v>0.05</v>
      </c>
      <c r="F8" s="80">
        <f t="shared" si="0"/>
        <v>8.6666666666666679</v>
      </c>
    </row>
    <row r="9" spans="1:14" x14ac:dyDescent="0.25">
      <c r="E9" s="79">
        <v>0.06</v>
      </c>
      <c r="F9" s="80">
        <f t="shared" si="0"/>
        <v>10.4</v>
      </c>
    </row>
    <row r="10" spans="1:14" x14ac:dyDescent="0.25">
      <c r="A10" s="83" t="s">
        <v>101</v>
      </c>
      <c r="B10" s="83">
        <v>12</v>
      </c>
      <c r="C10" s="83">
        <v>10</v>
      </c>
      <c r="D10" s="83">
        <v>9</v>
      </c>
      <c r="E10" s="79">
        <v>7.0000000000000007E-2</v>
      </c>
      <c r="F10" s="80">
        <f t="shared" si="0"/>
        <v>12.133333333333335</v>
      </c>
    </row>
    <row r="11" spans="1:14" x14ac:dyDescent="0.25">
      <c r="A11" s="84">
        <v>1</v>
      </c>
      <c r="B11" s="85">
        <f t="shared" ref="B11:B22" si="1">+A11/$B$10</f>
        <v>8.3333333333333329E-2</v>
      </c>
      <c r="C11" s="85">
        <f t="shared" ref="C11:C20" si="2">+A11/$C$10</f>
        <v>0.1</v>
      </c>
      <c r="D11" s="85">
        <f t="shared" ref="D11:D19" si="3">+A11/$D$10</f>
        <v>0.1111111111111111</v>
      </c>
      <c r="E11" s="79">
        <v>0.08</v>
      </c>
      <c r="F11" s="80">
        <f t="shared" si="0"/>
        <v>13.866666666666667</v>
      </c>
      <c r="J11">
        <v>8.33</v>
      </c>
      <c r="K11">
        <v>0.91</v>
      </c>
      <c r="L11">
        <f>+J11*K11</f>
        <v>7.5803000000000003</v>
      </c>
      <c r="M11">
        <v>1</v>
      </c>
      <c r="N11">
        <f>SUM(L11:M11)</f>
        <v>8.5803000000000011</v>
      </c>
    </row>
    <row r="12" spans="1:14" x14ac:dyDescent="0.25">
      <c r="A12" s="84">
        <v>2</v>
      </c>
      <c r="B12" s="85">
        <f t="shared" si="1"/>
        <v>0.16666666666666666</v>
      </c>
      <c r="C12" s="85">
        <f t="shared" si="2"/>
        <v>0.2</v>
      </c>
      <c r="D12" s="85">
        <f t="shared" si="3"/>
        <v>0.22222222222222221</v>
      </c>
      <c r="E12" s="79">
        <v>0.09</v>
      </c>
      <c r="F12" s="80">
        <f t="shared" si="0"/>
        <v>15.6</v>
      </c>
    </row>
    <row r="13" spans="1:14" x14ac:dyDescent="0.25">
      <c r="A13" s="84">
        <v>3</v>
      </c>
      <c r="B13" s="85">
        <f t="shared" si="1"/>
        <v>0.25</v>
      </c>
      <c r="C13" s="85">
        <f t="shared" si="2"/>
        <v>0.3</v>
      </c>
      <c r="D13" s="85">
        <f t="shared" si="3"/>
        <v>0.33333333333333331</v>
      </c>
      <c r="E13" s="79">
        <v>0.1</v>
      </c>
      <c r="F13" s="80">
        <f t="shared" si="0"/>
        <v>17.333333333333336</v>
      </c>
    </row>
    <row r="14" spans="1:14" x14ac:dyDescent="0.25">
      <c r="A14" s="84">
        <v>4</v>
      </c>
      <c r="B14" s="85">
        <f t="shared" si="1"/>
        <v>0.33333333333333331</v>
      </c>
      <c r="C14" s="85">
        <f t="shared" si="2"/>
        <v>0.4</v>
      </c>
      <c r="D14" s="85">
        <f t="shared" si="3"/>
        <v>0.44444444444444442</v>
      </c>
      <c r="E14" s="79">
        <v>0.11</v>
      </c>
      <c r="F14" s="80">
        <f t="shared" si="0"/>
        <v>19.066666666666666</v>
      </c>
    </row>
    <row r="15" spans="1:14" x14ac:dyDescent="0.25">
      <c r="A15" s="84">
        <v>5</v>
      </c>
      <c r="B15" s="85">
        <f t="shared" si="1"/>
        <v>0.41666666666666669</v>
      </c>
      <c r="C15" s="85">
        <f t="shared" si="2"/>
        <v>0.5</v>
      </c>
      <c r="D15" s="85">
        <f t="shared" si="3"/>
        <v>0.55555555555555558</v>
      </c>
      <c r="E15" s="79">
        <v>0.12</v>
      </c>
      <c r="F15" s="80">
        <f t="shared" si="0"/>
        <v>20.8</v>
      </c>
    </row>
    <row r="16" spans="1:14" x14ac:dyDescent="0.25">
      <c r="A16" s="84">
        <v>6</v>
      </c>
      <c r="B16" s="85">
        <f t="shared" si="1"/>
        <v>0.5</v>
      </c>
      <c r="C16" s="85">
        <f t="shared" si="2"/>
        <v>0.6</v>
      </c>
      <c r="D16" s="85">
        <f t="shared" si="3"/>
        <v>0.66666666666666663</v>
      </c>
      <c r="E16" s="79">
        <v>0.13</v>
      </c>
      <c r="F16" s="80">
        <f t="shared" si="0"/>
        <v>22.533333333333335</v>
      </c>
    </row>
    <row r="17" spans="1:6" x14ac:dyDescent="0.25">
      <c r="A17" s="84">
        <v>7</v>
      </c>
      <c r="B17" s="85">
        <f t="shared" si="1"/>
        <v>0.58333333333333337</v>
      </c>
      <c r="C17" s="85">
        <f t="shared" si="2"/>
        <v>0.7</v>
      </c>
      <c r="D17" s="85">
        <f t="shared" si="3"/>
        <v>0.77777777777777779</v>
      </c>
      <c r="E17" s="79">
        <v>0.14000000000000001</v>
      </c>
      <c r="F17" s="80">
        <f t="shared" si="0"/>
        <v>24.266666666666669</v>
      </c>
    </row>
    <row r="18" spans="1:6" x14ac:dyDescent="0.25">
      <c r="A18" s="84">
        <v>8</v>
      </c>
      <c r="B18" s="85">
        <f t="shared" si="1"/>
        <v>0.66666666666666663</v>
      </c>
      <c r="C18" s="85">
        <f t="shared" si="2"/>
        <v>0.8</v>
      </c>
      <c r="D18" s="85">
        <f t="shared" si="3"/>
        <v>0.88888888888888884</v>
      </c>
      <c r="E18" s="79">
        <v>0.15</v>
      </c>
      <c r="F18" s="80">
        <f t="shared" si="0"/>
        <v>26</v>
      </c>
    </row>
    <row r="19" spans="1:6" x14ac:dyDescent="0.25">
      <c r="A19" s="84">
        <v>9</v>
      </c>
      <c r="B19" s="85">
        <f t="shared" si="1"/>
        <v>0.75</v>
      </c>
      <c r="C19" s="85">
        <f t="shared" si="2"/>
        <v>0.9</v>
      </c>
      <c r="D19" s="85">
        <f t="shared" si="3"/>
        <v>1</v>
      </c>
      <c r="E19" s="79">
        <v>0.16</v>
      </c>
      <c r="F19" s="80">
        <f t="shared" si="0"/>
        <v>27.733333333333334</v>
      </c>
    </row>
    <row r="20" spans="1:6" x14ac:dyDescent="0.25">
      <c r="A20" s="84">
        <v>10</v>
      </c>
      <c r="B20" s="85">
        <f t="shared" si="1"/>
        <v>0.83333333333333337</v>
      </c>
      <c r="C20" s="85">
        <f t="shared" si="2"/>
        <v>1</v>
      </c>
      <c r="D20" s="84"/>
      <c r="E20" s="79">
        <v>0.17</v>
      </c>
      <c r="F20" s="80">
        <f t="shared" si="0"/>
        <v>29.466666666666672</v>
      </c>
    </row>
    <row r="21" spans="1:6" x14ac:dyDescent="0.25">
      <c r="A21" s="84">
        <v>11</v>
      </c>
      <c r="B21" s="85">
        <f t="shared" si="1"/>
        <v>0.91666666666666663</v>
      </c>
      <c r="C21" s="84"/>
      <c r="D21" s="84"/>
      <c r="E21" s="79">
        <v>0.18</v>
      </c>
      <c r="F21" s="80">
        <f t="shared" si="0"/>
        <v>31.2</v>
      </c>
    </row>
    <row r="22" spans="1:6" x14ac:dyDescent="0.25">
      <c r="A22" s="84">
        <v>12</v>
      </c>
      <c r="B22" s="85">
        <f t="shared" si="1"/>
        <v>1</v>
      </c>
      <c r="C22" s="84"/>
      <c r="D22" s="84"/>
      <c r="E22" s="79">
        <v>0.19</v>
      </c>
      <c r="F22" s="80">
        <f t="shared" si="0"/>
        <v>32.933333333333337</v>
      </c>
    </row>
    <row r="23" spans="1:6" x14ac:dyDescent="0.25">
      <c r="E23" s="79">
        <v>0.2</v>
      </c>
      <c r="F23" s="80">
        <f t="shared" si="0"/>
        <v>34.666666666666671</v>
      </c>
    </row>
    <row r="24" spans="1:6" x14ac:dyDescent="0.25">
      <c r="E24" s="79">
        <v>0.21</v>
      </c>
      <c r="F24" s="80">
        <f t="shared" si="0"/>
        <v>36.4</v>
      </c>
    </row>
    <row r="25" spans="1:6" x14ac:dyDescent="0.25">
      <c r="E25" s="79">
        <v>0.22</v>
      </c>
      <c r="F25" s="80">
        <f t="shared" si="0"/>
        <v>38.133333333333333</v>
      </c>
    </row>
    <row r="26" spans="1:6" x14ac:dyDescent="0.25">
      <c r="E26" s="79">
        <v>0.23</v>
      </c>
      <c r="F26" s="80">
        <f t="shared" si="0"/>
        <v>39.866666666666667</v>
      </c>
    </row>
    <row r="27" spans="1:6" x14ac:dyDescent="0.25">
      <c r="E27" s="79">
        <v>0.24</v>
      </c>
      <c r="F27" s="80">
        <f t="shared" si="0"/>
        <v>41.6</v>
      </c>
    </row>
    <row r="28" spans="1:6" x14ac:dyDescent="0.25">
      <c r="E28" s="79">
        <v>0.25</v>
      </c>
      <c r="F28" s="80">
        <f t="shared" si="0"/>
        <v>43.333333333333336</v>
      </c>
    </row>
    <row r="29" spans="1:6" x14ac:dyDescent="0.25">
      <c r="E29" s="79">
        <v>0.26</v>
      </c>
      <c r="F29" s="80">
        <f t="shared" si="0"/>
        <v>45.06666666666667</v>
      </c>
    </row>
    <row r="30" spans="1:6" x14ac:dyDescent="0.25">
      <c r="E30" s="79">
        <v>0.27</v>
      </c>
      <c r="F30" s="80">
        <f t="shared" si="0"/>
        <v>46.800000000000004</v>
      </c>
    </row>
    <row r="31" spans="1:6" x14ac:dyDescent="0.25">
      <c r="E31" s="79">
        <v>0.28000000000000003</v>
      </c>
      <c r="F31" s="80">
        <f t="shared" si="0"/>
        <v>48.533333333333339</v>
      </c>
    </row>
    <row r="32" spans="1:6" x14ac:dyDescent="0.25">
      <c r="E32" s="79">
        <v>0.28999999999999998</v>
      </c>
      <c r="F32" s="80">
        <f t="shared" si="0"/>
        <v>50.266666666666666</v>
      </c>
    </row>
    <row r="33" spans="5:6" x14ac:dyDescent="0.25">
      <c r="E33" s="79">
        <v>0.3</v>
      </c>
      <c r="F33" s="80">
        <f t="shared" si="0"/>
        <v>52</v>
      </c>
    </row>
    <row r="34" spans="5:6" x14ac:dyDescent="0.25">
      <c r="E34" s="79">
        <v>0.31</v>
      </c>
      <c r="F34" s="80">
        <f t="shared" si="0"/>
        <v>53.733333333333334</v>
      </c>
    </row>
    <row r="35" spans="5:6" x14ac:dyDescent="0.25">
      <c r="E35" s="79">
        <v>0.32</v>
      </c>
      <c r="F35" s="80">
        <f t="shared" si="0"/>
        <v>55.466666666666669</v>
      </c>
    </row>
    <row r="36" spans="5:6" x14ac:dyDescent="0.25">
      <c r="E36" s="79">
        <v>0.33</v>
      </c>
      <c r="F36" s="80">
        <f t="shared" si="0"/>
        <v>57.2</v>
      </c>
    </row>
    <row r="37" spans="5:6" x14ac:dyDescent="0.25">
      <c r="E37" s="79">
        <v>0.34</v>
      </c>
      <c r="F37" s="80">
        <f t="shared" si="0"/>
        <v>58.933333333333344</v>
      </c>
    </row>
    <row r="38" spans="5:6" x14ac:dyDescent="0.25">
      <c r="E38" s="79">
        <v>0.35</v>
      </c>
      <c r="F38" s="80">
        <f t="shared" si="0"/>
        <v>60.666666666666664</v>
      </c>
    </row>
    <row r="39" spans="5:6" x14ac:dyDescent="0.25">
      <c r="E39" s="79">
        <v>0.36</v>
      </c>
      <c r="F39" s="80">
        <f t="shared" si="0"/>
        <v>62.4</v>
      </c>
    </row>
    <row r="40" spans="5:6" x14ac:dyDescent="0.25">
      <c r="E40" s="79">
        <v>0.37</v>
      </c>
      <c r="F40" s="80">
        <f t="shared" si="0"/>
        <v>64.13333333333334</v>
      </c>
    </row>
    <row r="41" spans="5:6" x14ac:dyDescent="0.25">
      <c r="E41" s="79">
        <v>0.38</v>
      </c>
      <c r="F41" s="80">
        <f t="shared" si="0"/>
        <v>65.866666666666674</v>
      </c>
    </row>
    <row r="42" spans="5:6" x14ac:dyDescent="0.25">
      <c r="E42" s="79">
        <v>0.39</v>
      </c>
      <c r="F42" s="80">
        <f t="shared" si="0"/>
        <v>67.600000000000009</v>
      </c>
    </row>
    <row r="43" spans="5:6" x14ac:dyDescent="0.25">
      <c r="E43" s="79">
        <v>0.4</v>
      </c>
      <c r="F43" s="80">
        <f t="shared" si="0"/>
        <v>69.333333333333343</v>
      </c>
    </row>
    <row r="51" spans="1:1" x14ac:dyDescent="0.25">
      <c r="A51" s="7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28"/>
  <sheetViews>
    <sheetView workbookViewId="0">
      <selection activeCell="M20" sqref="M20"/>
    </sheetView>
  </sheetViews>
  <sheetFormatPr defaultRowHeight="15" x14ac:dyDescent="0.25"/>
  <cols>
    <col min="2" max="2" width="9.7109375" customWidth="1"/>
    <col min="4" max="4" width="4.140625" customWidth="1"/>
    <col min="5" max="5" width="10" bestFit="1" customWidth="1"/>
    <col min="6" max="6" width="38.5703125" customWidth="1"/>
    <col min="9" max="9" width="10.85546875" bestFit="1" customWidth="1"/>
    <col min="13" max="14" width="12.28515625" customWidth="1"/>
    <col min="15" max="15" width="13.5703125" customWidth="1"/>
  </cols>
  <sheetData>
    <row r="1" spans="1:15" x14ac:dyDescent="0.25">
      <c r="B1" t="s">
        <v>174</v>
      </c>
    </row>
    <row r="2" spans="1:15" x14ac:dyDescent="0.25">
      <c r="B2" t="s">
        <v>175</v>
      </c>
      <c r="E2" s="12">
        <v>929929743</v>
      </c>
      <c r="F2" s="11"/>
    </row>
    <row r="3" spans="1:15" x14ac:dyDescent="0.25">
      <c r="B3" t="s">
        <v>176</v>
      </c>
      <c r="D3" t="s">
        <v>80</v>
      </c>
      <c r="E3" t="s">
        <v>200</v>
      </c>
      <c r="F3" t="s">
        <v>80</v>
      </c>
      <c r="G3" t="s">
        <v>201</v>
      </c>
    </row>
    <row r="4" spans="1:15" x14ac:dyDescent="0.25">
      <c r="B4" t="s">
        <v>177</v>
      </c>
      <c r="E4" t="s">
        <v>0</v>
      </c>
    </row>
    <row r="5" spans="1:15" x14ac:dyDescent="0.25">
      <c r="B5" t="s">
        <v>178</v>
      </c>
      <c r="C5" s="113">
        <f>+Award!L6</f>
        <v>0</v>
      </c>
      <c r="E5" t="s">
        <v>179</v>
      </c>
      <c r="F5" s="113">
        <f>+Award!M6</f>
        <v>0</v>
      </c>
      <c r="G5" s="383" t="s">
        <v>180</v>
      </c>
      <c r="H5" s="383"/>
      <c r="I5">
        <v>1</v>
      </c>
    </row>
    <row r="7" spans="1:15" x14ac:dyDescent="0.25">
      <c r="B7" s="7" t="s">
        <v>181</v>
      </c>
    </row>
    <row r="8" spans="1:15" x14ac:dyDescent="0.25">
      <c r="J8" t="s">
        <v>80</v>
      </c>
    </row>
    <row r="9" spans="1:15" s="3" customFormat="1" ht="75" x14ac:dyDescent="0.25">
      <c r="B9" s="3" t="s">
        <v>182</v>
      </c>
      <c r="C9" s="3" t="s">
        <v>183</v>
      </c>
      <c r="D9" s="3" t="s">
        <v>184</v>
      </c>
      <c r="E9" s="3" t="s">
        <v>185</v>
      </c>
      <c r="G9" s="3" t="s">
        <v>186</v>
      </c>
      <c r="H9" s="3" t="s">
        <v>6</v>
      </c>
      <c r="I9" s="3" t="s">
        <v>187</v>
      </c>
      <c r="J9" s="3" t="s">
        <v>193</v>
      </c>
      <c r="K9" s="3" t="s">
        <v>192</v>
      </c>
      <c r="L9" s="3" t="s">
        <v>188</v>
      </c>
      <c r="M9" s="3" t="s">
        <v>189</v>
      </c>
      <c r="N9" s="3" t="s">
        <v>190</v>
      </c>
      <c r="O9" s="3" t="s">
        <v>191</v>
      </c>
    </row>
    <row r="10" spans="1:15" x14ac:dyDescent="0.25">
      <c r="A10">
        <v>1</v>
      </c>
      <c r="B10" s="12"/>
      <c r="C10" s="12">
        <f>+Award!C9</f>
        <v>0</v>
      </c>
      <c r="D10" s="12" t="s">
        <v>80</v>
      </c>
      <c r="E10" s="12">
        <f>+Award!D9</f>
        <v>0</v>
      </c>
      <c r="F10" s="12"/>
      <c r="G10" s="12"/>
      <c r="H10" s="12">
        <f>+Award!F9</f>
        <v>0</v>
      </c>
      <c r="I10" s="112">
        <f>+Award!H9</f>
        <v>0</v>
      </c>
      <c r="J10" s="12" t="str">
        <f>+IF(Award!J9=12,Award!AB9," ")</f>
        <v xml:space="preserve"> </v>
      </c>
      <c r="K10" s="111">
        <f>+IF(Award!J9&lt;12,Award!AB9," ")</f>
        <v>0</v>
      </c>
      <c r="L10" s="111">
        <f>+IF(Award!J9&lt;12,Award!M9," ")</f>
        <v>0</v>
      </c>
      <c r="M10" s="112">
        <f>+Award!N9</f>
        <v>0</v>
      </c>
      <c r="N10" s="112">
        <f>+Award!AH9</f>
        <v>0</v>
      </c>
      <c r="O10" s="112">
        <f>SUM(M10:N10)</f>
        <v>0</v>
      </c>
    </row>
    <row r="11" spans="1:15" x14ac:dyDescent="0.25">
      <c r="A11">
        <v>2</v>
      </c>
      <c r="B11" s="12"/>
      <c r="C11" s="12">
        <f>+Award!C10</f>
        <v>0</v>
      </c>
      <c r="D11" s="12" t="s">
        <v>80</v>
      </c>
      <c r="E11" s="12">
        <f>+Award!D10</f>
        <v>0</v>
      </c>
      <c r="F11" s="12"/>
      <c r="G11" s="12"/>
      <c r="H11" s="12">
        <f>+Award!F10</f>
        <v>0</v>
      </c>
      <c r="I11" s="112">
        <f>+Award!H10</f>
        <v>0</v>
      </c>
      <c r="J11" s="12" t="str">
        <f>+IF(Award!J10=12,Award!AB10," ")</f>
        <v xml:space="preserve"> </v>
      </c>
      <c r="K11" s="111">
        <f>+IF(Award!J10&lt;12,Award!AB10," ")</f>
        <v>0</v>
      </c>
      <c r="L11" s="111">
        <f>+IF(Award!J10&lt;12,Award!M10," ")</f>
        <v>0</v>
      </c>
      <c r="M11" s="112">
        <f>+Award!N10</f>
        <v>0</v>
      </c>
      <c r="N11" s="112">
        <f>+Award!AH10</f>
        <v>0</v>
      </c>
      <c r="O11" s="112">
        <f t="shared" ref="O11:O25" si="0">SUM(M11:N11)</f>
        <v>0</v>
      </c>
    </row>
    <row r="12" spans="1:15" x14ac:dyDescent="0.25">
      <c r="A12">
        <v>3</v>
      </c>
      <c r="B12" s="12"/>
      <c r="C12" s="12">
        <f>+Award!C11</f>
        <v>0</v>
      </c>
      <c r="D12" s="12" t="s">
        <v>80</v>
      </c>
      <c r="E12" s="12">
        <f>+Award!D11</f>
        <v>0</v>
      </c>
      <c r="F12" s="12"/>
      <c r="G12" s="12"/>
      <c r="H12" s="12">
        <f>+Award!F11</f>
        <v>0</v>
      </c>
      <c r="I12" s="112">
        <f>+Award!H11</f>
        <v>0</v>
      </c>
      <c r="J12" s="12" t="str">
        <f>+IF(Award!J11=12,Award!AB11," ")</f>
        <v xml:space="preserve"> </v>
      </c>
      <c r="K12" s="111">
        <f>+IF(Award!J11&lt;12,Award!AB11," ")</f>
        <v>0</v>
      </c>
      <c r="L12" s="111">
        <f>+IF(Award!J11&lt;12,Award!M11," ")</f>
        <v>0</v>
      </c>
      <c r="M12" s="112">
        <f>+Award!N11</f>
        <v>0</v>
      </c>
      <c r="N12" s="112">
        <f>+Award!AH11</f>
        <v>0</v>
      </c>
      <c r="O12" s="112">
        <f t="shared" si="0"/>
        <v>0</v>
      </c>
    </row>
    <row r="13" spans="1:15" x14ac:dyDescent="0.25">
      <c r="A13">
        <v>4</v>
      </c>
      <c r="B13" s="12"/>
      <c r="C13" s="12">
        <f>+Award!C12</f>
        <v>0</v>
      </c>
      <c r="D13" s="12" t="s">
        <v>80</v>
      </c>
      <c r="E13" s="12">
        <f>+Award!D12</f>
        <v>0</v>
      </c>
      <c r="F13" s="12"/>
      <c r="G13" s="12"/>
      <c r="H13" s="12">
        <f>+Award!F12</f>
        <v>0</v>
      </c>
      <c r="I13" s="112">
        <f>+Award!H12</f>
        <v>0</v>
      </c>
      <c r="J13" s="12" t="str">
        <f>+IF(Award!J12=12,Award!AB12," ")</f>
        <v xml:space="preserve"> </v>
      </c>
      <c r="K13" s="111">
        <f>+IF(Award!J12&lt;12,Award!AB12," ")</f>
        <v>0</v>
      </c>
      <c r="L13" s="111">
        <f>+IF(Award!J12&lt;12,Award!M12," ")</f>
        <v>0</v>
      </c>
      <c r="M13" s="112">
        <f>+Award!N12</f>
        <v>0</v>
      </c>
      <c r="N13" s="112">
        <f>+Award!AH12</f>
        <v>0</v>
      </c>
      <c r="O13" s="112">
        <f t="shared" si="0"/>
        <v>0</v>
      </c>
    </row>
    <row r="14" spans="1:15" x14ac:dyDescent="0.25">
      <c r="A14">
        <v>5</v>
      </c>
      <c r="B14" s="12"/>
      <c r="C14" s="12">
        <f>+Award!C13</f>
        <v>0</v>
      </c>
      <c r="D14" s="12" t="s">
        <v>80</v>
      </c>
      <c r="E14" s="12">
        <f>+Award!D13</f>
        <v>0</v>
      </c>
      <c r="F14" s="12"/>
      <c r="G14" s="12"/>
      <c r="H14" s="12">
        <f>+Award!F13</f>
        <v>0</v>
      </c>
      <c r="I14" s="112">
        <f>+Award!H13</f>
        <v>0</v>
      </c>
      <c r="J14" s="12" t="str">
        <f>+IF(Award!J13=12,Award!AB13," ")</f>
        <v xml:space="preserve"> </v>
      </c>
      <c r="K14" s="111">
        <f>+IF(Award!J13&lt;12,Award!AB13," ")</f>
        <v>0</v>
      </c>
      <c r="L14" s="111">
        <f>+IF(Award!J13&lt;12,Award!M13," ")</f>
        <v>0</v>
      </c>
      <c r="M14" s="112">
        <f>+Award!N13</f>
        <v>0</v>
      </c>
      <c r="N14" s="112">
        <f>+Award!AH13</f>
        <v>0</v>
      </c>
      <c r="O14" s="112">
        <f t="shared" si="0"/>
        <v>0</v>
      </c>
    </row>
    <row r="15" spans="1:15" x14ac:dyDescent="0.25">
      <c r="A15">
        <v>6</v>
      </c>
      <c r="B15" s="12"/>
      <c r="C15" s="12">
        <f>+Award!C14</f>
        <v>0</v>
      </c>
      <c r="D15" s="12" t="s">
        <v>80</v>
      </c>
      <c r="E15" s="12">
        <f>+Award!D14</f>
        <v>0</v>
      </c>
      <c r="F15" s="12"/>
      <c r="G15" s="12"/>
      <c r="H15" s="12">
        <f>+Award!F14</f>
        <v>0</v>
      </c>
      <c r="I15" s="112">
        <f>+Award!H14</f>
        <v>0</v>
      </c>
      <c r="J15" s="12">
        <f>+IF(Award!J14=12,Award!AB14," ")</f>
        <v>0</v>
      </c>
      <c r="K15" s="111" t="str">
        <f>+IF(Award!J14&lt;12,Award!AB14," ")</f>
        <v xml:space="preserve"> </v>
      </c>
      <c r="L15" s="111" t="str">
        <f>+IF(Award!J14&lt;12,Award!M14," ")</f>
        <v xml:space="preserve"> </v>
      </c>
      <c r="M15" s="112">
        <f>+Award!N14</f>
        <v>0</v>
      </c>
      <c r="N15" s="112">
        <f>+Award!AH14</f>
        <v>0</v>
      </c>
      <c r="O15" s="112">
        <f t="shared" si="0"/>
        <v>0</v>
      </c>
    </row>
    <row r="16" spans="1:15" x14ac:dyDescent="0.25">
      <c r="A16">
        <v>7</v>
      </c>
      <c r="B16" s="12"/>
      <c r="C16" s="12">
        <f>+Award!C15</f>
        <v>0</v>
      </c>
      <c r="D16" s="12" t="s">
        <v>80</v>
      </c>
      <c r="E16" s="12">
        <f>+Award!D15</f>
        <v>0</v>
      </c>
      <c r="F16" s="12"/>
      <c r="G16" s="12"/>
      <c r="H16" s="12">
        <f>+Award!F15</f>
        <v>0</v>
      </c>
      <c r="I16" s="112">
        <f>+Award!H15</f>
        <v>0</v>
      </c>
      <c r="J16" s="12" t="str">
        <f>+IF(Award!J15=12,Award!AB15," ")</f>
        <v xml:space="preserve"> </v>
      </c>
      <c r="K16" s="111">
        <f>+IF(Award!J15&lt;12,Award!AB15," ")</f>
        <v>0</v>
      </c>
      <c r="L16" s="111">
        <f>+IF(Award!J15&lt;12,Award!M15," ")</f>
        <v>0</v>
      </c>
      <c r="M16" s="112">
        <f>+Award!N15</f>
        <v>0</v>
      </c>
      <c r="N16" s="112">
        <f>+Award!AH15</f>
        <v>0</v>
      </c>
      <c r="O16" s="112">
        <f t="shared" si="0"/>
        <v>0</v>
      </c>
    </row>
    <row r="17" spans="1:17" x14ac:dyDescent="0.25">
      <c r="A17">
        <v>8</v>
      </c>
      <c r="B17" s="12"/>
      <c r="C17" s="12">
        <f>+Award!C16</f>
        <v>0</v>
      </c>
      <c r="D17" s="12" t="s">
        <v>80</v>
      </c>
      <c r="E17" s="12">
        <f>+Award!D16</f>
        <v>0</v>
      </c>
      <c r="F17" s="12"/>
      <c r="G17" s="12"/>
      <c r="H17" s="12">
        <f>+Award!F16</f>
        <v>0</v>
      </c>
      <c r="I17" s="112">
        <f>+Award!H16</f>
        <v>0</v>
      </c>
      <c r="J17" s="12" t="str">
        <f>+IF(Award!J16=12,Award!AB16," ")</f>
        <v xml:space="preserve"> </v>
      </c>
      <c r="K17" s="111">
        <f>+IF(Award!J16&lt;12,Award!AB16," ")</f>
        <v>0</v>
      </c>
      <c r="L17" s="111">
        <f>+IF(Award!J16&lt;12,Award!M16," ")</f>
        <v>0</v>
      </c>
      <c r="M17" s="112">
        <f>+Award!N16</f>
        <v>0</v>
      </c>
      <c r="N17" s="112">
        <f>+Award!AH16</f>
        <v>0</v>
      </c>
      <c r="O17" s="112">
        <f t="shared" si="0"/>
        <v>0</v>
      </c>
    </row>
    <row r="18" spans="1:17" x14ac:dyDescent="0.25">
      <c r="A18">
        <v>9</v>
      </c>
      <c r="B18" s="12"/>
      <c r="C18" s="12">
        <f>+Award!C17</f>
        <v>0</v>
      </c>
      <c r="D18" s="12" t="s">
        <v>80</v>
      </c>
      <c r="E18" s="12">
        <f>+Award!D17</f>
        <v>0</v>
      </c>
      <c r="F18" s="12"/>
      <c r="G18" s="12"/>
      <c r="H18" s="12">
        <f>+Award!F17</f>
        <v>0</v>
      </c>
      <c r="I18" s="112">
        <f>+Award!H17</f>
        <v>0</v>
      </c>
      <c r="J18" s="12" t="str">
        <f>+IF(Award!J17=12,Award!AB17," ")</f>
        <v xml:space="preserve"> </v>
      </c>
      <c r="K18" s="111">
        <f>+IF(Award!J17&lt;12,Award!AB17," ")</f>
        <v>0</v>
      </c>
      <c r="L18" s="111">
        <f>+IF(Award!J17&lt;12,Award!M17," ")</f>
        <v>0</v>
      </c>
      <c r="M18" s="112">
        <f>+Award!N17</f>
        <v>0</v>
      </c>
      <c r="N18" s="112">
        <f>+Award!AH17</f>
        <v>0</v>
      </c>
      <c r="O18" s="112">
        <f t="shared" si="0"/>
        <v>0</v>
      </c>
    </row>
    <row r="19" spans="1:17" x14ac:dyDescent="0.25">
      <c r="A19">
        <v>10</v>
      </c>
      <c r="B19" s="12"/>
      <c r="C19" s="12">
        <f>+Award!C18</f>
        <v>0</v>
      </c>
      <c r="D19" s="12" t="s">
        <v>80</v>
      </c>
      <c r="E19" s="12">
        <f>+Award!D18</f>
        <v>0</v>
      </c>
      <c r="F19" s="12"/>
      <c r="G19" s="12"/>
      <c r="H19" s="12">
        <f>+Award!F18</f>
        <v>0</v>
      </c>
      <c r="I19" s="112">
        <f>+Award!H18</f>
        <v>0</v>
      </c>
      <c r="J19" s="12">
        <f>+IF(Award!J18=12,Award!AB18," ")</f>
        <v>0</v>
      </c>
      <c r="K19" s="111" t="str">
        <f>+IF(Award!J18&lt;12,Award!AB18," ")</f>
        <v xml:space="preserve"> </v>
      </c>
      <c r="L19" s="111" t="str">
        <f>+IF(Award!J18&lt;12,Award!M18," ")</f>
        <v xml:space="preserve"> </v>
      </c>
      <c r="M19" s="112">
        <f>+Award!N18</f>
        <v>0</v>
      </c>
      <c r="N19" s="112">
        <f>+Award!AH18</f>
        <v>0</v>
      </c>
      <c r="O19" s="112">
        <f t="shared" si="0"/>
        <v>0</v>
      </c>
    </row>
    <row r="20" spans="1:17" x14ac:dyDescent="0.25">
      <c r="A20">
        <v>11</v>
      </c>
      <c r="B20" s="12"/>
      <c r="C20" s="12">
        <f>+Award!C19</f>
        <v>0</v>
      </c>
      <c r="D20" s="12" t="s">
        <v>80</v>
      </c>
      <c r="E20" s="12">
        <f>+Award!D19</f>
        <v>0</v>
      </c>
      <c r="F20" s="12"/>
      <c r="G20" s="12"/>
      <c r="H20" s="12">
        <f>+Award!F19</f>
        <v>0</v>
      </c>
      <c r="I20" s="112">
        <f>+Award!H19</f>
        <v>0</v>
      </c>
      <c r="J20" s="12" t="str">
        <f>+IF(Award!J19=12,Award!AB19," ")</f>
        <v xml:space="preserve"> </v>
      </c>
      <c r="K20" s="111">
        <f>+IF(Award!J19&lt;12,Award!AB19," ")</f>
        <v>0</v>
      </c>
      <c r="L20" s="111">
        <f>+IF(Award!J19&lt;12,Award!M19," ")</f>
        <v>0</v>
      </c>
      <c r="M20" s="112">
        <f>+Award!N19</f>
        <v>0</v>
      </c>
      <c r="N20" s="112">
        <f>+Award!AH19</f>
        <v>0</v>
      </c>
      <c r="O20" s="112">
        <f t="shared" si="0"/>
        <v>0</v>
      </c>
    </row>
    <row r="21" spans="1:17" x14ac:dyDescent="0.25">
      <c r="A21">
        <v>12</v>
      </c>
      <c r="B21" s="12"/>
      <c r="C21" s="12">
        <f>+Award!C20</f>
        <v>0</v>
      </c>
      <c r="D21" s="12" t="s">
        <v>80</v>
      </c>
      <c r="E21" s="12">
        <f>+Award!D20</f>
        <v>0</v>
      </c>
      <c r="F21" s="12"/>
      <c r="G21" s="12"/>
      <c r="H21" s="12">
        <f>+Award!F20</f>
        <v>0</v>
      </c>
      <c r="I21" s="112">
        <f>+Award!H20</f>
        <v>0</v>
      </c>
      <c r="J21" s="12" t="str">
        <f>+IF(Award!J20=12,Award!AB20," ")</f>
        <v xml:space="preserve"> </v>
      </c>
      <c r="K21" s="111">
        <f>+IF(Award!J20&lt;12,Award!AB20," ")</f>
        <v>0</v>
      </c>
      <c r="L21" s="111">
        <f>+IF(Award!J20&lt;12,Award!M20," ")</f>
        <v>0</v>
      </c>
      <c r="M21" s="112">
        <f>+Award!N20</f>
        <v>0</v>
      </c>
      <c r="N21" s="112">
        <f>+Award!AH20</f>
        <v>0</v>
      </c>
      <c r="O21" s="112">
        <f t="shared" si="0"/>
        <v>0</v>
      </c>
    </row>
    <row r="22" spans="1:17" x14ac:dyDescent="0.25">
      <c r="A22">
        <v>13</v>
      </c>
      <c r="B22" s="12"/>
      <c r="C22" s="12">
        <f>+Award!C21</f>
        <v>0</v>
      </c>
      <c r="D22" s="12" t="s">
        <v>80</v>
      </c>
      <c r="E22" s="12">
        <f>+Award!D21</f>
        <v>0</v>
      </c>
      <c r="F22" s="12"/>
      <c r="G22" s="12"/>
      <c r="H22" s="12">
        <f>+Award!F21</f>
        <v>0</v>
      </c>
      <c r="I22" s="112">
        <f>+Award!H21</f>
        <v>0</v>
      </c>
      <c r="J22" s="12">
        <f>+IF(Award!J21=12,Award!AB21," ")</f>
        <v>0</v>
      </c>
      <c r="K22" s="111" t="str">
        <f>+IF(Award!J21&lt;12,Award!AB21," ")</f>
        <v xml:space="preserve"> </v>
      </c>
      <c r="L22" s="111" t="str">
        <f>+IF(Award!J21&lt;12,Award!M21," ")</f>
        <v xml:space="preserve"> </v>
      </c>
      <c r="M22" s="112">
        <f>+Award!N21</f>
        <v>0</v>
      </c>
      <c r="N22" s="112">
        <f>+Award!AH21</f>
        <v>0</v>
      </c>
      <c r="O22" s="112">
        <f t="shared" si="0"/>
        <v>0</v>
      </c>
    </row>
    <row r="23" spans="1:17" x14ac:dyDescent="0.25">
      <c r="A23">
        <v>14</v>
      </c>
      <c r="B23" s="12"/>
      <c r="C23" s="12">
        <f>+Award!C22</f>
        <v>0</v>
      </c>
      <c r="D23" s="12" t="s">
        <v>80</v>
      </c>
      <c r="E23" s="12">
        <f>+Award!D22</f>
        <v>0</v>
      </c>
      <c r="F23" s="12"/>
      <c r="G23" s="12"/>
      <c r="H23" s="12">
        <f>+Award!F22</f>
        <v>0</v>
      </c>
      <c r="I23" s="112">
        <f>+Award!H22</f>
        <v>0</v>
      </c>
      <c r="J23" s="12" t="str">
        <f>+IF(Award!J22=12,Award!AB22," ")</f>
        <v xml:space="preserve"> </v>
      </c>
      <c r="K23" s="111">
        <f>+IF(Award!J22&lt;12,Award!AB22," ")</f>
        <v>0</v>
      </c>
      <c r="L23" s="111">
        <f>+IF(Award!J22&lt;12,Award!M22," ")</f>
        <v>0</v>
      </c>
      <c r="M23" s="112">
        <f>+Award!N22</f>
        <v>0</v>
      </c>
      <c r="N23" s="112">
        <f>+Award!AH22</f>
        <v>0</v>
      </c>
      <c r="O23" s="112">
        <f t="shared" si="0"/>
        <v>0</v>
      </c>
    </row>
    <row r="24" spans="1:17" x14ac:dyDescent="0.25">
      <c r="A24">
        <v>15</v>
      </c>
      <c r="B24" s="12"/>
      <c r="C24" s="12">
        <f>+Award!C23</f>
        <v>0</v>
      </c>
      <c r="D24" s="12" t="s">
        <v>80</v>
      </c>
      <c r="E24" s="12">
        <f>+Award!D23</f>
        <v>0</v>
      </c>
      <c r="F24" s="12"/>
      <c r="G24" s="12"/>
      <c r="H24" s="12">
        <f>+Award!F23</f>
        <v>0</v>
      </c>
      <c r="I24" s="112">
        <f>+Award!H23</f>
        <v>0</v>
      </c>
      <c r="J24" s="12" t="str">
        <f>+IF(Award!J23=12,Award!AB23," ")</f>
        <v xml:space="preserve"> </v>
      </c>
      <c r="K24" s="111">
        <f>+IF(Award!J23&lt;12,Award!AB23," ")</f>
        <v>0</v>
      </c>
      <c r="L24" s="111">
        <f>+IF(Award!J23&lt;12,Award!M23," ")</f>
        <v>0</v>
      </c>
      <c r="M24" s="112">
        <f>+Award!N23</f>
        <v>0</v>
      </c>
      <c r="N24" s="112">
        <f>+Award!AH23</f>
        <v>0</v>
      </c>
      <c r="O24" s="112">
        <f t="shared" si="0"/>
        <v>0</v>
      </c>
    </row>
    <row r="25" spans="1:17" x14ac:dyDescent="0.25">
      <c r="A25">
        <v>16</v>
      </c>
      <c r="B25" s="12"/>
      <c r="C25" s="12">
        <f>+Award!C24</f>
        <v>0</v>
      </c>
      <c r="D25" s="12" t="s">
        <v>80</v>
      </c>
      <c r="E25" s="12">
        <f>+Award!D24</f>
        <v>0</v>
      </c>
      <c r="F25" s="12"/>
      <c r="G25" s="12"/>
      <c r="H25" s="12">
        <f>+Award!F24</f>
        <v>0</v>
      </c>
      <c r="I25" s="112">
        <f>+Award!H24</f>
        <v>0</v>
      </c>
      <c r="J25" s="12" t="str">
        <f>+IF(Award!J24=12,Award!AB24," ")</f>
        <v xml:space="preserve"> </v>
      </c>
      <c r="K25" s="111">
        <f>+IF(Award!J24&lt;12,Award!AB24," ")</f>
        <v>0</v>
      </c>
      <c r="L25" s="111">
        <f>+IF(Award!J24&lt;12,Award!M24," ")</f>
        <v>0</v>
      </c>
      <c r="M25" s="112">
        <f>+Award!N24</f>
        <v>0</v>
      </c>
      <c r="N25" s="112">
        <f>+Award!AH24</f>
        <v>0</v>
      </c>
      <c r="O25" s="112">
        <f t="shared" si="0"/>
        <v>0</v>
      </c>
    </row>
    <row r="26" spans="1:17" x14ac:dyDescent="0.25">
      <c r="B26" t="s">
        <v>199</v>
      </c>
      <c r="M26" s="50"/>
      <c r="N26" s="50"/>
      <c r="O26" s="112" t="s">
        <v>80</v>
      </c>
    </row>
    <row r="27" spans="1:17" x14ac:dyDescent="0.25">
      <c r="M27" s="50"/>
      <c r="N27" s="50"/>
      <c r="O27" s="112">
        <f>SUM(O10:O26)</f>
        <v>0</v>
      </c>
      <c r="Q27" t="str">
        <f>+IF(O27=Award!N25+Award!N39," ", "Does not equal budget")</f>
        <v xml:space="preserve"> </v>
      </c>
    </row>
    <row r="29" spans="1:17" x14ac:dyDescent="0.25">
      <c r="B29" t="s">
        <v>202</v>
      </c>
    </row>
    <row r="32" spans="1:17" x14ac:dyDescent="0.25">
      <c r="B32" s="7" t="s">
        <v>203</v>
      </c>
    </row>
    <row r="33" spans="2:17" s="110" customFormat="1" ht="60" x14ac:dyDescent="0.25">
      <c r="B33" s="110" t="s">
        <v>204</v>
      </c>
      <c r="F33" s="3" t="s">
        <v>6</v>
      </c>
      <c r="J33" s="3" t="s">
        <v>193</v>
      </c>
      <c r="K33" s="3" t="s">
        <v>192</v>
      </c>
      <c r="L33" s="3" t="s">
        <v>188</v>
      </c>
      <c r="M33" s="3" t="s">
        <v>189</v>
      </c>
      <c r="N33" s="3" t="s">
        <v>190</v>
      </c>
      <c r="O33" s="3" t="s">
        <v>191</v>
      </c>
    </row>
    <row r="34" spans="2:17" x14ac:dyDescent="0.25">
      <c r="B34" s="12">
        <f>+Award!C28</f>
        <v>0</v>
      </c>
      <c r="F34" t="s">
        <v>205</v>
      </c>
      <c r="J34" s="116">
        <f>+Award!AB28</f>
        <v>0</v>
      </c>
      <c r="K34" s="12"/>
      <c r="L34" s="12"/>
      <c r="M34" s="112">
        <f>+Award!N28</f>
        <v>0</v>
      </c>
      <c r="N34" s="112">
        <f>+Award!AH28</f>
        <v>0</v>
      </c>
      <c r="O34" s="112">
        <f>+M34+N34</f>
        <v>0</v>
      </c>
    </row>
    <row r="35" spans="2:17" x14ac:dyDescent="0.25">
      <c r="B35" s="12">
        <f>+Award!C30+Award!C31</f>
        <v>0</v>
      </c>
      <c r="F35" t="s">
        <v>39</v>
      </c>
      <c r="J35" s="116">
        <f>+Award!AB30+Award!AB31</f>
        <v>0</v>
      </c>
      <c r="K35" s="12"/>
      <c r="L35" s="12"/>
      <c r="M35" s="112">
        <f>+Award!N30+Award!N31</f>
        <v>0</v>
      </c>
      <c r="N35" s="112">
        <f>+Award!AH30+Award!AH31</f>
        <v>0</v>
      </c>
      <c r="O35" s="112">
        <f>+M35+N35</f>
        <v>0</v>
      </c>
    </row>
    <row r="36" spans="2:17" x14ac:dyDescent="0.25">
      <c r="B36" s="12">
        <f>+Award!C32</f>
        <v>0</v>
      </c>
      <c r="F36" t="s">
        <v>206</v>
      </c>
      <c r="J36" s="116">
        <f>+Award!AB32</f>
        <v>0</v>
      </c>
      <c r="K36" s="12"/>
      <c r="L36" s="12"/>
      <c r="M36" s="112">
        <f>+Award!N32</f>
        <v>0</v>
      </c>
      <c r="N36" s="112">
        <f>+Award!AH32</f>
        <v>0</v>
      </c>
      <c r="O36" s="112">
        <f>+M36+N36</f>
        <v>0</v>
      </c>
    </row>
    <row r="37" spans="2:17" x14ac:dyDescent="0.25">
      <c r="B37" s="12"/>
      <c r="F37" t="s">
        <v>207</v>
      </c>
      <c r="J37" s="12"/>
      <c r="K37" s="12"/>
      <c r="L37" s="12"/>
      <c r="M37" s="112"/>
      <c r="N37" s="112"/>
      <c r="O37" s="112"/>
    </row>
    <row r="38" spans="2:17" x14ac:dyDescent="0.25">
      <c r="B38" s="12">
        <f>+Award!C29</f>
        <v>0</v>
      </c>
      <c r="F38" s="12"/>
      <c r="J38" s="116">
        <f>+Award!AB29</f>
        <v>0</v>
      </c>
      <c r="K38" s="12"/>
      <c r="L38" s="12"/>
      <c r="M38" s="112">
        <f>+Award!N29</f>
        <v>0</v>
      </c>
      <c r="N38" s="112">
        <f>+Award!AH29</f>
        <v>0</v>
      </c>
      <c r="O38" s="112">
        <f t="shared" ref="O38:O43" si="1">+M38+N38</f>
        <v>0</v>
      </c>
    </row>
    <row r="39" spans="2:17" x14ac:dyDescent="0.25">
      <c r="B39" s="12">
        <f>+Award!C33</f>
        <v>0</v>
      </c>
      <c r="F39" s="12"/>
      <c r="J39" s="116">
        <f>+Award!AB33</f>
        <v>0</v>
      </c>
      <c r="K39" s="12"/>
      <c r="L39" s="12"/>
      <c r="M39" s="112">
        <f>+Award!N33</f>
        <v>0</v>
      </c>
      <c r="N39" s="112">
        <f>+Award!AH33</f>
        <v>0</v>
      </c>
      <c r="O39" s="112">
        <f t="shared" si="1"/>
        <v>0</v>
      </c>
    </row>
    <row r="40" spans="2:17" x14ac:dyDescent="0.25">
      <c r="B40" s="12"/>
      <c r="F40" s="12"/>
      <c r="J40" s="12"/>
      <c r="K40" s="12"/>
      <c r="L40" s="12"/>
      <c r="M40" s="112"/>
      <c r="N40" s="112"/>
      <c r="O40" s="112">
        <f t="shared" si="1"/>
        <v>0</v>
      </c>
    </row>
    <row r="41" spans="2:17" x14ac:dyDescent="0.25">
      <c r="B41" s="12"/>
      <c r="F41" s="12"/>
      <c r="J41" s="12"/>
      <c r="K41" s="12"/>
      <c r="L41" s="12"/>
      <c r="M41" s="112"/>
      <c r="N41" s="112"/>
      <c r="O41" s="112">
        <f t="shared" si="1"/>
        <v>0</v>
      </c>
    </row>
    <row r="42" spans="2:17" x14ac:dyDescent="0.25">
      <c r="B42" s="12"/>
      <c r="F42" s="12"/>
      <c r="J42" s="12"/>
      <c r="K42" s="12"/>
      <c r="L42" s="12"/>
      <c r="M42" s="112"/>
      <c r="N42" s="112"/>
      <c r="O42" s="112">
        <f t="shared" si="1"/>
        <v>0</v>
      </c>
    </row>
    <row r="43" spans="2:17" x14ac:dyDescent="0.25">
      <c r="B43" s="12"/>
      <c r="F43" s="12"/>
      <c r="J43" s="12"/>
      <c r="K43" s="12"/>
      <c r="L43" s="12"/>
      <c r="M43" s="112"/>
      <c r="N43" s="112"/>
      <c r="O43" s="112">
        <f t="shared" si="1"/>
        <v>0</v>
      </c>
    </row>
    <row r="44" spans="2:17" x14ac:dyDescent="0.25">
      <c r="B44" s="12">
        <f>SUM(B34:B43)</f>
        <v>0</v>
      </c>
      <c r="F44" t="s">
        <v>208</v>
      </c>
      <c r="M44" s="50"/>
      <c r="N44" s="117" t="s">
        <v>91</v>
      </c>
      <c r="O44" s="112">
        <f>SUM(O34:O43)</f>
        <v>0</v>
      </c>
      <c r="Q44" t="str">
        <f>+IF(O44=Award!N34+Award!N40," ","Does not equal budget")</f>
        <v xml:space="preserve"> </v>
      </c>
    </row>
    <row r="45" spans="2:17" x14ac:dyDescent="0.25">
      <c r="M45" s="50"/>
      <c r="N45" s="117" t="s">
        <v>209</v>
      </c>
      <c r="O45" s="118">
        <f>+O44+O27</f>
        <v>0</v>
      </c>
      <c r="Q45" t="s">
        <v>80</v>
      </c>
    </row>
    <row r="48" spans="2:17" x14ac:dyDescent="0.25">
      <c r="B48" t="s">
        <v>175</v>
      </c>
      <c r="E48" s="12">
        <v>929929743</v>
      </c>
      <c r="F48" s="11"/>
    </row>
    <row r="49" spans="1:15" x14ac:dyDescent="0.25">
      <c r="B49" t="s">
        <v>176</v>
      </c>
      <c r="D49" t="s">
        <v>80</v>
      </c>
      <c r="E49" t="s">
        <v>200</v>
      </c>
      <c r="F49" t="s">
        <v>80</v>
      </c>
      <c r="G49" t="s">
        <v>201</v>
      </c>
    </row>
    <row r="50" spans="1:15" x14ac:dyDescent="0.25">
      <c r="B50" t="s">
        <v>177</v>
      </c>
      <c r="E50" t="s">
        <v>0</v>
      </c>
    </row>
    <row r="51" spans="1:15" x14ac:dyDescent="0.25">
      <c r="B51" t="s">
        <v>178</v>
      </c>
      <c r="C51" s="113">
        <f>+C5</f>
        <v>0</v>
      </c>
      <c r="E51" t="s">
        <v>179</v>
      </c>
      <c r="F51" s="113">
        <f>+F5</f>
        <v>0</v>
      </c>
      <c r="G51" s="383" t="s">
        <v>180</v>
      </c>
      <c r="H51" s="383"/>
      <c r="I51">
        <v>1</v>
      </c>
    </row>
    <row r="53" spans="1:15" x14ac:dyDescent="0.25">
      <c r="B53" s="7" t="s">
        <v>210</v>
      </c>
    </row>
    <row r="54" spans="1:15" x14ac:dyDescent="0.25">
      <c r="B54" s="7" t="s">
        <v>211</v>
      </c>
    </row>
    <row r="55" spans="1:15" x14ac:dyDescent="0.25">
      <c r="E55" t="s">
        <v>212</v>
      </c>
      <c r="G55" s="121" t="s">
        <v>261</v>
      </c>
      <c r="H55" s="121"/>
      <c r="I55" s="121"/>
      <c r="O55" s="114" t="s">
        <v>213</v>
      </c>
    </row>
    <row r="56" spans="1:15" x14ac:dyDescent="0.25">
      <c r="A56">
        <v>1</v>
      </c>
      <c r="B56" s="384"/>
      <c r="C56" s="385"/>
      <c r="D56" s="385"/>
      <c r="E56" s="385"/>
      <c r="F56" s="385"/>
      <c r="G56" s="385"/>
      <c r="H56" s="385"/>
      <c r="I56" s="385"/>
      <c r="J56" s="385"/>
      <c r="K56" s="385"/>
      <c r="L56" s="385"/>
      <c r="M56" s="386"/>
      <c r="O56" s="112"/>
    </row>
    <row r="57" spans="1:15" x14ac:dyDescent="0.25">
      <c r="A57">
        <v>2</v>
      </c>
      <c r="B57" s="384"/>
      <c r="C57" s="385"/>
      <c r="D57" s="385"/>
      <c r="E57" s="385"/>
      <c r="F57" s="385"/>
      <c r="G57" s="385"/>
      <c r="H57" s="385"/>
      <c r="I57" s="385"/>
      <c r="J57" s="385"/>
      <c r="K57" s="385"/>
      <c r="L57" s="385"/>
      <c r="M57" s="386"/>
      <c r="O57" s="112"/>
    </row>
    <row r="58" spans="1:15" x14ac:dyDescent="0.25">
      <c r="A58">
        <v>3</v>
      </c>
      <c r="B58" s="384"/>
      <c r="C58" s="385"/>
      <c r="D58" s="385"/>
      <c r="E58" s="385"/>
      <c r="F58" s="385"/>
      <c r="G58" s="385"/>
      <c r="H58" s="385"/>
      <c r="I58" s="385"/>
      <c r="J58" s="385"/>
      <c r="K58" s="385"/>
      <c r="L58" s="385"/>
      <c r="M58" s="386"/>
      <c r="O58" s="112"/>
    </row>
    <row r="59" spans="1:15" x14ac:dyDescent="0.25">
      <c r="A59">
        <v>4</v>
      </c>
      <c r="B59" s="384"/>
      <c r="C59" s="385"/>
      <c r="D59" s="385"/>
      <c r="E59" s="385"/>
      <c r="F59" s="385"/>
      <c r="G59" s="385"/>
      <c r="H59" s="385"/>
      <c r="I59" s="385"/>
      <c r="J59" s="385"/>
      <c r="K59" s="385"/>
      <c r="L59" s="385"/>
      <c r="M59" s="386"/>
      <c r="O59" s="112"/>
    </row>
    <row r="60" spans="1:15" x14ac:dyDescent="0.25">
      <c r="A60">
        <v>5</v>
      </c>
      <c r="B60" s="384"/>
      <c r="C60" s="385"/>
      <c r="D60" s="385"/>
      <c r="E60" s="385"/>
      <c r="F60" s="385"/>
      <c r="G60" s="385"/>
      <c r="H60" s="385"/>
      <c r="I60" s="385"/>
      <c r="J60" s="385"/>
      <c r="K60" s="385"/>
      <c r="L60" s="385"/>
      <c r="M60" s="386"/>
      <c r="O60" s="112"/>
    </row>
    <row r="61" spans="1:15" x14ac:dyDescent="0.25">
      <c r="A61">
        <v>6</v>
      </c>
      <c r="B61" s="384"/>
      <c r="C61" s="385"/>
      <c r="D61" s="385"/>
      <c r="E61" s="385"/>
      <c r="F61" s="385"/>
      <c r="G61" s="385"/>
      <c r="H61" s="385"/>
      <c r="I61" s="385"/>
      <c r="J61" s="385"/>
      <c r="K61" s="385"/>
      <c r="L61" s="385"/>
      <c r="M61" s="386"/>
      <c r="O61" s="112"/>
    </row>
    <row r="62" spans="1:15" x14ac:dyDescent="0.25">
      <c r="A62">
        <v>7</v>
      </c>
      <c r="B62" s="384"/>
      <c r="C62" s="385"/>
      <c r="D62" s="385"/>
      <c r="E62" s="385"/>
      <c r="F62" s="385"/>
      <c r="G62" s="385"/>
      <c r="H62" s="385"/>
      <c r="I62" s="385"/>
      <c r="J62" s="385"/>
      <c r="K62" s="385"/>
      <c r="L62" s="385"/>
      <c r="M62" s="386"/>
      <c r="O62" s="112"/>
    </row>
    <row r="63" spans="1:15" x14ac:dyDescent="0.25">
      <c r="A63">
        <v>8</v>
      </c>
      <c r="B63" s="384"/>
      <c r="C63" s="385"/>
      <c r="D63" s="385"/>
      <c r="E63" s="385"/>
      <c r="F63" s="385"/>
      <c r="G63" s="385"/>
      <c r="H63" s="385"/>
      <c r="I63" s="385"/>
      <c r="J63" s="385"/>
      <c r="K63" s="385"/>
      <c r="L63" s="385"/>
      <c r="M63" s="386"/>
      <c r="O63" s="112"/>
    </row>
    <row r="64" spans="1:15" x14ac:dyDescent="0.25">
      <c r="A64">
        <v>9</v>
      </c>
      <c r="B64" s="384"/>
      <c r="C64" s="385"/>
      <c r="D64" s="385"/>
      <c r="E64" s="385"/>
      <c r="F64" s="385"/>
      <c r="G64" s="385"/>
      <c r="H64" s="385"/>
      <c r="I64" s="385"/>
      <c r="J64" s="385"/>
      <c r="K64" s="385"/>
      <c r="L64" s="385"/>
      <c r="M64" s="386"/>
      <c r="O64" s="112"/>
    </row>
    <row r="65" spans="1:15" x14ac:dyDescent="0.25">
      <c r="A65">
        <v>10</v>
      </c>
      <c r="B65" s="384"/>
      <c r="C65" s="385"/>
      <c r="D65" s="385"/>
      <c r="E65" s="385"/>
      <c r="F65" s="385"/>
      <c r="G65" s="385"/>
      <c r="H65" s="385"/>
      <c r="I65" s="385"/>
      <c r="J65" s="385"/>
      <c r="K65" s="385"/>
      <c r="L65" s="385"/>
      <c r="M65" s="386"/>
      <c r="O65" s="112"/>
    </row>
    <row r="66" spans="1:15" x14ac:dyDescent="0.25">
      <c r="A66">
        <v>11</v>
      </c>
      <c r="B66" t="s">
        <v>214</v>
      </c>
      <c r="O66" s="112">
        <f>SUM(O56:O65)</f>
        <v>0</v>
      </c>
    </row>
    <row r="69" spans="1:15" x14ac:dyDescent="0.25">
      <c r="B69" t="s">
        <v>215</v>
      </c>
      <c r="E69" s="387"/>
      <c r="F69" s="388"/>
      <c r="G69" s="388"/>
      <c r="H69" s="388"/>
      <c r="I69" s="388"/>
      <c r="J69" s="388"/>
      <c r="K69" s="388"/>
      <c r="L69" s="389"/>
    </row>
    <row r="72" spans="1:15" x14ac:dyDescent="0.25">
      <c r="B72" s="7" t="s">
        <v>216</v>
      </c>
      <c r="O72" s="114" t="s">
        <v>213</v>
      </c>
    </row>
    <row r="73" spans="1:15" x14ac:dyDescent="0.25">
      <c r="A73">
        <v>1</v>
      </c>
      <c r="B73" t="s">
        <v>217</v>
      </c>
      <c r="O73" s="112">
        <f>+Award!N49</f>
        <v>0</v>
      </c>
    </row>
    <row r="74" spans="1:15" x14ac:dyDescent="0.25">
      <c r="A74">
        <v>2</v>
      </c>
      <c r="B74" t="s">
        <v>218</v>
      </c>
      <c r="O74" s="112">
        <f>+Award!N50</f>
        <v>0</v>
      </c>
    </row>
    <row r="75" spans="1:15" x14ac:dyDescent="0.25">
      <c r="N75" s="30" t="s">
        <v>219</v>
      </c>
      <c r="O75" s="112">
        <f>SUM(O73:O74)</f>
        <v>0</v>
      </c>
    </row>
    <row r="76" spans="1:15" x14ac:dyDescent="0.25">
      <c r="O76" s="119"/>
    </row>
    <row r="77" spans="1:15" x14ac:dyDescent="0.25">
      <c r="B77" s="7" t="s">
        <v>220</v>
      </c>
      <c r="O77" s="120" t="s">
        <v>213</v>
      </c>
    </row>
    <row r="78" spans="1:15" x14ac:dyDescent="0.25">
      <c r="A78">
        <v>1</v>
      </c>
      <c r="B78" t="s">
        <v>221</v>
      </c>
      <c r="O78" s="112">
        <v>0</v>
      </c>
    </row>
    <row r="79" spans="1:15" x14ac:dyDescent="0.25">
      <c r="A79">
        <v>2</v>
      </c>
      <c r="B79" t="s">
        <v>57</v>
      </c>
      <c r="O79" s="112">
        <f>+Award!N54</f>
        <v>0</v>
      </c>
    </row>
    <row r="80" spans="1:15" x14ac:dyDescent="0.25">
      <c r="A80">
        <v>3</v>
      </c>
      <c r="B80" t="s">
        <v>52</v>
      </c>
      <c r="O80" s="112">
        <f>+Award!N55</f>
        <v>0</v>
      </c>
    </row>
    <row r="81" spans="1:15" x14ac:dyDescent="0.25">
      <c r="A81">
        <v>4</v>
      </c>
      <c r="B81" t="s">
        <v>58</v>
      </c>
      <c r="O81" s="112">
        <f>+Award!N56</f>
        <v>0</v>
      </c>
    </row>
    <row r="82" spans="1:15" x14ac:dyDescent="0.25">
      <c r="A82">
        <v>5</v>
      </c>
      <c r="B82" t="s">
        <v>59</v>
      </c>
      <c r="C82" s="387"/>
      <c r="D82" s="388"/>
      <c r="E82" s="388"/>
      <c r="F82" s="388"/>
      <c r="G82" s="388"/>
      <c r="H82" s="388"/>
      <c r="I82" s="388"/>
      <c r="J82" s="388"/>
      <c r="K82" s="388"/>
      <c r="L82" s="389"/>
      <c r="O82" s="112">
        <f>+Award!N57</f>
        <v>0</v>
      </c>
    </row>
    <row r="83" spans="1:15" x14ac:dyDescent="0.25">
      <c r="A83" s="12"/>
      <c r="B83" t="s">
        <v>222</v>
      </c>
      <c r="N83" s="114" t="s">
        <v>223</v>
      </c>
      <c r="O83" s="112">
        <f>SUM(O78:O82)</f>
        <v>0</v>
      </c>
    </row>
    <row r="84" spans="1:15" x14ac:dyDescent="0.25">
      <c r="O84" s="119"/>
    </row>
    <row r="85" spans="1:15" x14ac:dyDescent="0.25">
      <c r="O85" s="119"/>
    </row>
    <row r="86" spans="1:15" x14ac:dyDescent="0.25">
      <c r="B86" t="s">
        <v>175</v>
      </c>
      <c r="E86" s="12">
        <v>929929743</v>
      </c>
      <c r="F86" s="11"/>
      <c r="O86" s="119"/>
    </row>
    <row r="87" spans="1:15" x14ac:dyDescent="0.25">
      <c r="B87" t="s">
        <v>176</v>
      </c>
      <c r="D87" t="s">
        <v>80</v>
      </c>
      <c r="E87" t="s">
        <v>200</v>
      </c>
      <c r="F87" t="s">
        <v>80</v>
      </c>
      <c r="G87" t="s">
        <v>201</v>
      </c>
      <c r="O87" s="119"/>
    </row>
    <row r="88" spans="1:15" x14ac:dyDescent="0.25">
      <c r="B88" t="s">
        <v>177</v>
      </c>
      <c r="E88" t="s">
        <v>0</v>
      </c>
      <c r="O88" s="119"/>
    </row>
    <row r="89" spans="1:15" x14ac:dyDescent="0.25">
      <c r="B89" t="s">
        <v>178</v>
      </c>
      <c r="C89" s="113">
        <f>+C51</f>
        <v>0</v>
      </c>
      <c r="E89" t="s">
        <v>179</v>
      </c>
      <c r="F89" s="113">
        <f>+F51</f>
        <v>0</v>
      </c>
      <c r="G89" s="383" t="s">
        <v>180</v>
      </c>
      <c r="H89" s="383"/>
      <c r="I89">
        <v>1</v>
      </c>
      <c r="O89" s="119"/>
    </row>
    <row r="90" spans="1:15" x14ac:dyDescent="0.25">
      <c r="O90" s="119"/>
    </row>
    <row r="91" spans="1:15" x14ac:dyDescent="0.25">
      <c r="B91" s="7" t="s">
        <v>224</v>
      </c>
      <c r="O91" s="120" t="s">
        <v>213</v>
      </c>
    </row>
    <row r="92" spans="1:15" x14ac:dyDescent="0.25">
      <c r="A92">
        <v>1</v>
      </c>
      <c r="B92" t="s">
        <v>225</v>
      </c>
      <c r="O92" s="112">
        <f>+Award!N61</f>
        <v>0</v>
      </c>
    </row>
    <row r="93" spans="1:15" x14ac:dyDescent="0.25">
      <c r="A93">
        <v>2</v>
      </c>
      <c r="B93" t="s">
        <v>65</v>
      </c>
      <c r="O93" s="112">
        <f>+Award!N62</f>
        <v>0</v>
      </c>
    </row>
    <row r="94" spans="1:15" x14ac:dyDescent="0.25">
      <c r="A94">
        <v>3</v>
      </c>
      <c r="B94" t="s">
        <v>226</v>
      </c>
      <c r="O94" s="112">
        <f>+Award!N63</f>
        <v>0</v>
      </c>
    </row>
    <row r="95" spans="1:15" x14ac:dyDescent="0.25">
      <c r="A95">
        <v>4</v>
      </c>
      <c r="B95" t="s">
        <v>227</v>
      </c>
      <c r="O95" s="112">
        <f>+Award!N64</f>
        <v>0</v>
      </c>
    </row>
    <row r="96" spans="1:15" x14ac:dyDescent="0.25">
      <c r="A96">
        <v>5</v>
      </c>
      <c r="B96" t="s">
        <v>228</v>
      </c>
      <c r="O96" s="112">
        <f>+SUM(Award!N66:N85)</f>
        <v>0</v>
      </c>
    </row>
    <row r="97" spans="1:17" x14ac:dyDescent="0.25">
      <c r="A97">
        <v>6</v>
      </c>
      <c r="B97" t="s">
        <v>229</v>
      </c>
      <c r="O97" s="112">
        <f>+Award!N46</f>
        <v>0</v>
      </c>
    </row>
    <row r="98" spans="1:17" x14ac:dyDescent="0.25">
      <c r="A98">
        <v>7</v>
      </c>
      <c r="B98" t="s">
        <v>230</v>
      </c>
      <c r="O98" s="112">
        <v>0</v>
      </c>
    </row>
    <row r="99" spans="1:17" x14ac:dyDescent="0.25">
      <c r="A99">
        <v>8</v>
      </c>
      <c r="B99" s="387" t="str">
        <f>+Award!C86</f>
        <v>Tuition / Tuition Remission</v>
      </c>
      <c r="C99" s="388"/>
      <c r="D99" s="388"/>
      <c r="E99" s="388"/>
      <c r="F99" s="388"/>
      <c r="G99" s="388"/>
      <c r="H99" s="388"/>
      <c r="I99" s="388"/>
      <c r="J99" s="388"/>
      <c r="K99" s="389"/>
      <c r="O99" s="112">
        <f>+Award!N86</f>
        <v>0</v>
      </c>
    </row>
    <row r="100" spans="1:17" x14ac:dyDescent="0.25">
      <c r="A100">
        <v>9</v>
      </c>
      <c r="B100" s="387"/>
      <c r="C100" s="388"/>
      <c r="D100" s="388"/>
      <c r="E100" s="388"/>
      <c r="F100" s="388"/>
      <c r="G100" s="388"/>
      <c r="H100" s="388"/>
      <c r="I100" s="388"/>
      <c r="J100" s="388"/>
      <c r="K100" s="389"/>
      <c r="O100" s="112">
        <f>+Award!N87</f>
        <v>0</v>
      </c>
    </row>
    <row r="101" spans="1:17" x14ac:dyDescent="0.25">
      <c r="A101">
        <v>10</v>
      </c>
      <c r="B101" s="387"/>
      <c r="C101" s="388"/>
      <c r="D101" s="388"/>
      <c r="E101" s="388"/>
      <c r="F101" s="388"/>
      <c r="G101" s="388"/>
      <c r="H101" s="388"/>
      <c r="I101" s="388"/>
      <c r="J101" s="388"/>
      <c r="K101" s="389"/>
      <c r="O101" s="112" t="s">
        <v>80</v>
      </c>
    </row>
    <row r="102" spans="1:17" x14ac:dyDescent="0.25">
      <c r="N102" s="114" t="s">
        <v>71</v>
      </c>
      <c r="O102" s="112">
        <f>SUM(O92:O101)</f>
        <v>0</v>
      </c>
    </row>
    <row r="103" spans="1:17" x14ac:dyDescent="0.25">
      <c r="O103" s="119"/>
    </row>
    <row r="104" spans="1:17" x14ac:dyDescent="0.25">
      <c r="O104" s="119"/>
    </row>
    <row r="105" spans="1:17" x14ac:dyDescent="0.25">
      <c r="B105" s="7" t="s">
        <v>231</v>
      </c>
      <c r="O105" s="120" t="s">
        <v>213</v>
      </c>
    </row>
    <row r="106" spans="1:17" x14ac:dyDescent="0.25">
      <c r="N106" s="114" t="s">
        <v>232</v>
      </c>
      <c r="O106" s="112">
        <f>+ROUND(O102+O83+O75+O66+O45,0)</f>
        <v>0</v>
      </c>
      <c r="Q106" t="str">
        <f>+IF(O106=Award!N90,"Equals Budget", "Does not Equal Budget")</f>
        <v>Equals Budget</v>
      </c>
    </row>
    <row r="107" spans="1:17" x14ac:dyDescent="0.25">
      <c r="O107" s="119"/>
    </row>
    <row r="108" spans="1:17" x14ac:dyDescent="0.25">
      <c r="B108" t="s">
        <v>233</v>
      </c>
      <c r="O108" s="119"/>
    </row>
    <row r="109" spans="1:17" s="115" customFormat="1" x14ac:dyDescent="0.25">
      <c r="C109" s="115" t="s">
        <v>235</v>
      </c>
      <c r="I109" s="115" t="s">
        <v>236</v>
      </c>
      <c r="L109" s="115" t="s">
        <v>234</v>
      </c>
      <c r="O109" s="120" t="s">
        <v>213</v>
      </c>
    </row>
    <row r="110" spans="1:17" x14ac:dyDescent="0.25">
      <c r="A110">
        <v>1</v>
      </c>
      <c r="B110" s="387" t="str">
        <f>+IF(Award!$H$93&gt;0,"MTDC",IF(Award!$H$94&gt;0,"TDC", IF(Award!$H$95&gt;0, "TFFA"," ")))</f>
        <v>TFFA</v>
      </c>
      <c r="C110" s="388"/>
      <c r="D110" s="388"/>
      <c r="E110" s="388"/>
      <c r="F110" s="389"/>
      <c r="I110" s="392" t="str">
        <f>+IF(Award!$H$93&gt;0,Award!H93,IF(Award!$H$94&gt;0,Award!H94,IF(Award!$H$95&gt;0,Award!H95,0)))</f>
        <v xml:space="preserve"> </v>
      </c>
      <c r="J110" s="393"/>
      <c r="L110" s="390">
        <f>+IF(Award!$H$93&gt;0,Award!M93,IF(Award!$H$94&gt;0,Award!N90,IF(Award!$H$95&gt;0,Award!N90,0)))</f>
        <v>0</v>
      </c>
      <c r="M110" s="391"/>
      <c r="O110" s="112" t="e">
        <f>+ROUND(L110*I110,0)</f>
        <v>#VALUE!</v>
      </c>
      <c r="Q110" t="s">
        <v>80</v>
      </c>
    </row>
    <row r="111" spans="1:17" x14ac:dyDescent="0.25">
      <c r="A111">
        <v>2</v>
      </c>
      <c r="B111" s="387"/>
      <c r="C111" s="388"/>
      <c r="D111" s="388"/>
      <c r="E111" s="388"/>
      <c r="F111" s="389"/>
      <c r="I111" s="387"/>
      <c r="J111" s="389"/>
      <c r="L111" s="387"/>
      <c r="M111" s="389"/>
      <c r="O111" s="112" t="s">
        <v>80</v>
      </c>
    </row>
    <row r="112" spans="1:17" x14ac:dyDescent="0.25">
      <c r="A112">
        <v>3</v>
      </c>
      <c r="B112" s="387"/>
      <c r="C112" s="388"/>
      <c r="D112" s="388"/>
      <c r="E112" s="388"/>
      <c r="F112" s="389"/>
      <c r="I112" s="387"/>
      <c r="J112" s="389"/>
      <c r="L112" s="387"/>
      <c r="M112" s="389"/>
      <c r="O112" s="112" t="s">
        <v>80</v>
      </c>
    </row>
    <row r="113" spans="1:17" x14ac:dyDescent="0.25">
      <c r="A113">
        <v>4</v>
      </c>
      <c r="B113" s="387"/>
      <c r="C113" s="388"/>
      <c r="D113" s="388"/>
      <c r="E113" s="388"/>
      <c r="F113" s="389"/>
      <c r="I113" s="387"/>
      <c r="J113" s="389"/>
      <c r="L113" s="387"/>
      <c r="M113" s="389"/>
      <c r="O113" s="112" t="s">
        <v>80</v>
      </c>
    </row>
    <row r="114" spans="1:17" x14ac:dyDescent="0.25">
      <c r="N114" s="114" t="s">
        <v>237</v>
      </c>
      <c r="O114" s="112" t="e">
        <f>SUM(O110:O113)</f>
        <v>#VALUE!</v>
      </c>
    </row>
    <row r="117" spans="1:17" x14ac:dyDescent="0.25">
      <c r="B117" t="s">
        <v>239</v>
      </c>
      <c r="F117" s="387" t="s">
        <v>241</v>
      </c>
      <c r="G117" s="388"/>
      <c r="H117" s="388"/>
      <c r="I117" s="388"/>
      <c r="J117" s="388"/>
      <c r="K117" s="388"/>
      <c r="L117" s="388"/>
      <c r="M117" s="388"/>
      <c r="N117" s="388"/>
      <c r="O117" s="389"/>
    </row>
    <row r="118" spans="1:17" x14ac:dyDescent="0.25">
      <c r="B118" t="s">
        <v>240</v>
      </c>
    </row>
    <row r="120" spans="1:17" x14ac:dyDescent="0.25">
      <c r="B120" s="7" t="s">
        <v>238</v>
      </c>
      <c r="O120" s="114" t="s">
        <v>213</v>
      </c>
    </row>
    <row r="121" spans="1:17" x14ac:dyDescent="0.25">
      <c r="E121" t="s">
        <v>242</v>
      </c>
      <c r="O121" s="112" t="e">
        <f>+ROUND(O106+O114,0)</f>
        <v>#VALUE!</v>
      </c>
      <c r="Q121" t="e">
        <f>+IF(O121=Award!N98,"Equals Budget", "Does not Equal Budget")</f>
        <v>#VALUE!</v>
      </c>
    </row>
    <row r="122" spans="1:17" x14ac:dyDescent="0.25">
      <c r="O122" s="50"/>
    </row>
    <row r="123" spans="1:17" x14ac:dyDescent="0.25">
      <c r="O123" s="50"/>
    </row>
    <row r="124" spans="1:17" x14ac:dyDescent="0.25">
      <c r="B124" s="7" t="s">
        <v>243</v>
      </c>
      <c r="O124" s="117" t="s">
        <v>213</v>
      </c>
    </row>
    <row r="125" spans="1:17" x14ac:dyDescent="0.25">
      <c r="O125" s="112">
        <v>0</v>
      </c>
    </row>
    <row r="126" spans="1:17" x14ac:dyDescent="0.25">
      <c r="O126" s="50"/>
    </row>
    <row r="128" spans="1:17" x14ac:dyDescent="0.25">
      <c r="B128" s="7" t="s">
        <v>244</v>
      </c>
      <c r="E128" s="387"/>
      <c r="F128" s="388"/>
      <c r="G128" s="388"/>
      <c r="H128" s="388"/>
      <c r="I128" s="389"/>
    </row>
  </sheetData>
  <sheetProtection algorithmName="SHA-512" hashValue="e0uhBin7O7iw+rlbZ4+A2sB4FwzlWM8Ld5GpzniPs7QlqODT4RrYFwiOpEU3RjRAJIxdLYdDBmT2i9jkUwbJNA==" saltValue="6yULJuBdGivrFP+VaZz0jA==" spinCount="100000" sheet="1" objects="1" scenarios="1"/>
  <mergeCells count="32">
    <mergeCell ref="E128:I128"/>
    <mergeCell ref="L110:M110"/>
    <mergeCell ref="L111:M111"/>
    <mergeCell ref="L112:M112"/>
    <mergeCell ref="L113:M113"/>
    <mergeCell ref="F117:O117"/>
    <mergeCell ref="B112:F112"/>
    <mergeCell ref="B113:F113"/>
    <mergeCell ref="I110:J110"/>
    <mergeCell ref="I111:J111"/>
    <mergeCell ref="I112:J112"/>
    <mergeCell ref="I113:J113"/>
    <mergeCell ref="B99:K99"/>
    <mergeCell ref="B100:K100"/>
    <mergeCell ref="B101:K101"/>
    <mergeCell ref="B110:F110"/>
    <mergeCell ref="B111:F111"/>
    <mergeCell ref="B64:M64"/>
    <mergeCell ref="B65:M65"/>
    <mergeCell ref="E69:L69"/>
    <mergeCell ref="C82:L82"/>
    <mergeCell ref="G89:H89"/>
    <mergeCell ref="B59:M59"/>
    <mergeCell ref="B60:M60"/>
    <mergeCell ref="B61:M61"/>
    <mergeCell ref="B62:M62"/>
    <mergeCell ref="B63:M63"/>
    <mergeCell ref="G5:H5"/>
    <mergeCell ref="G51:H51"/>
    <mergeCell ref="B56:M56"/>
    <mergeCell ref="B57:M57"/>
    <mergeCell ref="B58:M58"/>
  </mergeCells>
  <pageMargins left="0.7" right="0.7" top="0.75" bottom="0.75" header="0.3" footer="0.3"/>
  <pageSetup scale="50"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576F9B812ECF4ABA14C2C93EFCA1EE" ma:contentTypeVersion="0" ma:contentTypeDescription="Create a new document." ma:contentTypeScope="" ma:versionID="14b0b3f416625a027307e1906061778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3CF8A1-74C1-4D80-A3A0-BD6D3E236CD7}">
  <ds:schemaRefs>
    <ds:schemaRef ds:uri="http://schemas.microsoft.com/sharepoint/v3/contenttype/forms"/>
  </ds:schemaRefs>
</ds:datastoreItem>
</file>

<file path=customXml/itemProps2.xml><?xml version="1.0" encoding="utf-8"?>
<ds:datastoreItem xmlns:ds="http://schemas.openxmlformats.org/officeDocument/2006/customXml" ds:itemID="{6F90175E-948D-4AA3-96D5-66B67ADA3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B3A26B1-CA10-4A37-A9C2-1493F082A148}">
  <ds:schemaRef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Award</vt:lpstr>
      <vt:lpstr>Justification</vt:lpstr>
      <vt:lpstr>Short Justification</vt:lpstr>
      <vt:lpstr>Match</vt:lpstr>
      <vt:lpstr>Match Justification</vt:lpstr>
      <vt:lpstr>GRA</vt:lpstr>
      <vt:lpstr>Compliance</vt:lpstr>
      <vt:lpstr>PI Time</vt:lpstr>
      <vt:lpstr>R&amp;R Yr 1</vt:lpstr>
      <vt:lpstr>R&amp;R Yr 2</vt:lpstr>
      <vt:lpstr>R&amp;R Yr 3</vt:lpstr>
      <vt:lpstr>R&amp;R Yr 4</vt:lpstr>
      <vt:lpstr>R&amp;R Yr 5</vt:lpstr>
      <vt:lpstr>R&amp;R Cummlative</vt:lpstr>
      <vt:lpstr>TR Data</vt:lpstr>
      <vt:lpstr>Sheet3</vt:lpstr>
      <vt:lpstr>TR</vt:lpstr>
      <vt:lpstr>GA Rates</vt:lpstr>
      <vt:lpstr>Instructions</vt:lpstr>
      <vt:lpstr>Budget Information</vt:lpstr>
      <vt:lpstr>Award!Print_Area</vt:lpstr>
      <vt:lpstr>GRA!Print_Area</vt:lpstr>
      <vt:lpstr>Instructions!Print_Area</vt:lpstr>
      <vt:lpstr>Match!Print_Area</vt:lpstr>
      <vt:lpstr>TR!Print_Area</vt:lpstr>
      <vt:lpstr>Award!Print_Titles</vt:lpstr>
      <vt:lpstr>GRA!Print_Titles</vt:lpstr>
      <vt:lpstr>Match!Print_Titles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Bobby.Markham</dc:creator>
  <cp:lastModifiedBy>Jensen, Shirley</cp:lastModifiedBy>
  <cp:lastPrinted>2017-12-20T17:23:23Z</cp:lastPrinted>
  <dcterms:created xsi:type="dcterms:W3CDTF">2011-03-18T13:21:13Z</dcterms:created>
  <dcterms:modified xsi:type="dcterms:W3CDTF">2017-12-20T17:23:28Z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0x010100B6576F9B812ECF4ABA14C2C93EFCA1EE</vt:lpwstr>
  </property>
</Properties>
</file>