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45" yWindow="360" windowWidth="15180" windowHeight="7785" tabRatio="827"/>
  </bookViews>
  <sheets>
    <sheet name="Heather" sheetId="20" r:id="rId1"/>
    <sheet name="Introduction" sheetId="17" r:id="rId2"/>
    <sheet name="10-9-2015 prices sources" sheetId="18" state="hidden" r:id="rId3"/>
    <sheet name="Step 1 - Feed Cost Input Sheet " sheetId="16" r:id="rId4"/>
    <sheet name="Heifer Development" sheetId="14" r:id="rId5"/>
    <sheet name="Beef Cow Only" sheetId="9" r:id="rId6"/>
    <sheet name="Background Nov-Feb" sheetId="2" r:id="rId7"/>
    <sheet name="Finish Steers" sheetId="3" r:id="rId8"/>
    <sheet name="Background Yearlings 750-1100#" sheetId="10" r:id="rId9"/>
    <sheet name="Finish Yearlings 1100-1400" sheetId="11" r:id="rId10"/>
    <sheet name="12-15-2015 prices" sheetId="19" r:id="rId11"/>
  </sheets>
  <definedNames>
    <definedName name="_xlnm.Print_Area" localSheetId="6">'Background Nov-Feb'!$A$55:$I$135</definedName>
    <definedName name="_xlnm.Print_Area" localSheetId="8">'Background Yearlings 750-1100#'!$A$47:$I$126</definedName>
    <definedName name="_xlnm.Print_Area" localSheetId="5">'Beef Cow Only'!$A$44:$J$122</definedName>
    <definedName name="_xlnm.Print_Area" localSheetId="7">'Finish Steers'!$A$41:$I$117</definedName>
    <definedName name="_xlnm.Print_Area" localSheetId="9">'Finish Yearlings 1100-1400'!$A$47:$I$126</definedName>
    <definedName name="_xlnm.Print_Area" localSheetId="4">'Heifer Development'!$A$1:$I$97</definedName>
    <definedName name="Print_Area_MI" localSheetId="4">#REF!</definedName>
    <definedName name="Print_Area_MI">#REF!</definedName>
  </definedNames>
  <calcPr calcId="145621" concurrentCalc="0"/>
</workbook>
</file>

<file path=xl/calcChain.xml><?xml version="1.0" encoding="utf-8"?>
<calcChain xmlns="http://schemas.openxmlformats.org/spreadsheetml/2006/main">
  <c r="I80" i="14" l="1"/>
  <c r="H87" i="10"/>
  <c r="I70" i="3"/>
  <c r="H64" i="2"/>
  <c r="H65" i="2"/>
  <c r="H66" i="2"/>
  <c r="I73" i="9"/>
  <c r="I97" i="14"/>
  <c r="C92" i="14"/>
  <c r="B92" i="14"/>
  <c r="I84" i="14"/>
  <c r="I85" i="14"/>
  <c r="I87" i="14"/>
  <c r="G80" i="14"/>
  <c r="E80" i="14"/>
  <c r="I20" i="14"/>
  <c r="G81" i="14"/>
  <c r="E81" i="14"/>
  <c r="I81" i="14"/>
  <c r="J23" i="14"/>
  <c r="G36" i="14"/>
  <c r="G49" i="14"/>
  <c r="E61" i="14"/>
  <c r="H36" i="14"/>
  <c r="G61" i="14"/>
  <c r="H61" i="14"/>
  <c r="G37" i="14"/>
  <c r="G50" i="14"/>
  <c r="E62" i="14"/>
  <c r="H37" i="14"/>
  <c r="G62" i="14"/>
  <c r="H62" i="14"/>
  <c r="G38" i="14"/>
  <c r="G51" i="14"/>
  <c r="E63" i="14"/>
  <c r="H38" i="14"/>
  <c r="G63" i="14"/>
  <c r="H63" i="14"/>
  <c r="G39" i="14"/>
  <c r="G52" i="14"/>
  <c r="E64" i="14"/>
  <c r="H39" i="14"/>
  <c r="G64" i="14"/>
  <c r="H64" i="14"/>
  <c r="G40" i="14"/>
  <c r="G53" i="14"/>
  <c r="E65" i="14"/>
  <c r="H40" i="14"/>
  <c r="G65" i="14"/>
  <c r="H65" i="14"/>
  <c r="G41" i="14"/>
  <c r="G54" i="14"/>
  <c r="E66" i="14"/>
  <c r="H41" i="14"/>
  <c r="G66" i="14"/>
  <c r="H66" i="14"/>
  <c r="G42" i="14"/>
  <c r="G55" i="14"/>
  <c r="E67" i="14"/>
  <c r="H42" i="14"/>
  <c r="G67" i="14"/>
  <c r="H67" i="14"/>
  <c r="G43" i="14"/>
  <c r="G56" i="14"/>
  <c r="E68" i="14"/>
  <c r="H43" i="14"/>
  <c r="G68" i="14"/>
  <c r="H68" i="14"/>
  <c r="G44" i="14"/>
  <c r="G57" i="14"/>
  <c r="E69" i="14"/>
  <c r="H44" i="14"/>
  <c r="G69" i="14"/>
  <c r="H69" i="14"/>
  <c r="F58" i="14"/>
  <c r="E70" i="14"/>
  <c r="H45" i="14"/>
  <c r="G70" i="14"/>
  <c r="H70" i="14"/>
  <c r="I71" i="14"/>
  <c r="I82" i="14"/>
  <c r="I72" i="14"/>
  <c r="I73" i="14"/>
  <c r="I74" i="14"/>
  <c r="I75" i="14"/>
  <c r="I76" i="14"/>
  <c r="I83" i="14"/>
  <c r="I99" i="9"/>
  <c r="H99" i="9"/>
  <c r="G99" i="9"/>
  <c r="E99" i="9"/>
  <c r="D99" i="9"/>
  <c r="C99" i="9"/>
  <c r="I89" i="9"/>
  <c r="H89" i="9"/>
  <c r="G89" i="9"/>
  <c r="C89" i="9"/>
  <c r="D89" i="9"/>
  <c r="E89" i="9"/>
  <c r="H53" i="3"/>
  <c r="F41" i="3"/>
  <c r="H2" i="9"/>
  <c r="I2" i="2"/>
  <c r="I17" i="9"/>
  <c r="H39" i="9"/>
  <c r="B80" i="9"/>
  <c r="E57" i="2"/>
  <c r="G57" i="2"/>
  <c r="I57" i="2"/>
  <c r="E58" i="2"/>
  <c r="G58" i="2"/>
  <c r="I58" i="2"/>
  <c r="I59" i="2"/>
  <c r="E62" i="2"/>
  <c r="G62" i="2"/>
  <c r="I62" i="2"/>
  <c r="G45" i="2"/>
  <c r="E64" i="2"/>
  <c r="H45" i="2"/>
  <c r="G64" i="2"/>
  <c r="G46" i="2"/>
  <c r="E65" i="2"/>
  <c r="H46" i="2"/>
  <c r="G65" i="2"/>
  <c r="G47" i="2"/>
  <c r="E66" i="2"/>
  <c r="H47" i="2"/>
  <c r="G66" i="2"/>
  <c r="G48" i="2"/>
  <c r="E67" i="2"/>
  <c r="H48" i="2"/>
  <c r="G67" i="2"/>
  <c r="H67" i="2"/>
  <c r="G49" i="2"/>
  <c r="E68" i="2"/>
  <c r="H49" i="2"/>
  <c r="G68" i="2"/>
  <c r="H68" i="2"/>
  <c r="G50" i="2"/>
  <c r="E69" i="2"/>
  <c r="H50" i="2"/>
  <c r="G69" i="2"/>
  <c r="H69" i="2"/>
  <c r="G51" i="2"/>
  <c r="E70" i="2"/>
  <c r="H51" i="2"/>
  <c r="G70" i="2"/>
  <c r="H70" i="2"/>
  <c r="G52" i="2"/>
  <c r="E71" i="2"/>
  <c r="H52" i="2"/>
  <c r="G71" i="2"/>
  <c r="H71" i="2"/>
  <c r="G53" i="2"/>
  <c r="E72" i="2"/>
  <c r="H53" i="2"/>
  <c r="G72" i="2"/>
  <c r="H72" i="2"/>
  <c r="G54" i="2"/>
  <c r="E73" i="2"/>
  <c r="H54" i="2"/>
  <c r="G73" i="2"/>
  <c r="H73" i="2"/>
  <c r="I63" i="2"/>
  <c r="I74" i="2"/>
  <c r="I75" i="2"/>
  <c r="D32" i="2"/>
  <c r="I76" i="2"/>
  <c r="I77" i="2"/>
  <c r="I78" i="2"/>
  <c r="I79" i="2"/>
  <c r="I80" i="2"/>
  <c r="I82" i="2"/>
  <c r="E103" i="2"/>
  <c r="E102" i="2"/>
  <c r="I86" i="2"/>
  <c r="I87" i="2"/>
  <c r="I88" i="2"/>
  <c r="H95" i="2"/>
  <c r="I89" i="2"/>
  <c r="G94" i="2"/>
  <c r="H92" i="2"/>
  <c r="E49" i="3"/>
  <c r="G49" i="3"/>
  <c r="I49" i="3"/>
  <c r="J20" i="3"/>
  <c r="G31" i="3"/>
  <c r="E51" i="3"/>
  <c r="H31" i="3"/>
  <c r="G51" i="3"/>
  <c r="H51" i="3"/>
  <c r="G32" i="3"/>
  <c r="E52" i="3"/>
  <c r="H32" i="3"/>
  <c r="G52" i="3"/>
  <c r="H52" i="3"/>
  <c r="G33" i="3"/>
  <c r="E53" i="3"/>
  <c r="H33" i="3"/>
  <c r="G53" i="3"/>
  <c r="G34" i="3"/>
  <c r="E54" i="3"/>
  <c r="H34" i="3"/>
  <c r="G54" i="3"/>
  <c r="H54" i="3"/>
  <c r="G35" i="3"/>
  <c r="E55" i="3"/>
  <c r="H35" i="3"/>
  <c r="G55" i="3"/>
  <c r="H55" i="3"/>
  <c r="G36" i="3"/>
  <c r="E56" i="3"/>
  <c r="H36" i="3"/>
  <c r="G56" i="3"/>
  <c r="H56" i="3"/>
  <c r="G37" i="3"/>
  <c r="E57" i="3"/>
  <c r="H37" i="3"/>
  <c r="G57" i="3"/>
  <c r="H57" i="3"/>
  <c r="G38" i="3"/>
  <c r="E58" i="3"/>
  <c r="H38" i="3"/>
  <c r="G58" i="3"/>
  <c r="H58" i="3"/>
  <c r="G39" i="3"/>
  <c r="E59" i="3"/>
  <c r="H39" i="3"/>
  <c r="G59" i="3"/>
  <c r="H59" i="3"/>
  <c r="G40" i="3"/>
  <c r="E60" i="3"/>
  <c r="H40" i="3"/>
  <c r="G60" i="3"/>
  <c r="H60" i="3"/>
  <c r="I50" i="3"/>
  <c r="I61" i="3"/>
  <c r="I62" i="3"/>
  <c r="I63" i="3"/>
  <c r="I64" i="3"/>
  <c r="I65" i="3"/>
  <c r="I71" i="3"/>
  <c r="I72" i="3"/>
  <c r="E44" i="3"/>
  <c r="G78" i="3"/>
  <c r="E45" i="3"/>
  <c r="G44" i="3"/>
  <c r="I44" i="3"/>
  <c r="G45" i="3"/>
  <c r="I45" i="3"/>
  <c r="I73" i="3"/>
  <c r="H76" i="3"/>
  <c r="I46" i="3"/>
  <c r="I66" i="3"/>
  <c r="D87" i="3"/>
  <c r="D86" i="3"/>
  <c r="H42" i="11"/>
  <c r="G62" i="11"/>
  <c r="H62" i="11"/>
  <c r="H41" i="11"/>
  <c r="G61" i="11"/>
  <c r="H61" i="11"/>
  <c r="H39" i="11"/>
  <c r="G59" i="11"/>
  <c r="H59" i="11"/>
  <c r="H40" i="11"/>
  <c r="G60" i="11"/>
  <c r="H60" i="11"/>
  <c r="H43" i="11"/>
  <c r="G63" i="11"/>
  <c r="H63" i="11"/>
  <c r="H44" i="11"/>
  <c r="G64" i="11"/>
  <c r="H64" i="11"/>
  <c r="H45" i="11"/>
  <c r="G65" i="11"/>
  <c r="H65" i="11"/>
  <c r="I56" i="11"/>
  <c r="G55" i="11"/>
  <c r="I55" i="11"/>
  <c r="I72" i="11"/>
  <c r="I78" i="11"/>
  <c r="I80" i="11"/>
  <c r="G49" i="11"/>
  <c r="I49" i="11"/>
  <c r="G50" i="11"/>
  <c r="I50" i="11"/>
  <c r="I51" i="11"/>
  <c r="H87" i="11"/>
  <c r="H79" i="3"/>
  <c r="I74" i="11"/>
  <c r="E94" i="11"/>
  <c r="E49" i="10"/>
  <c r="G49" i="10"/>
  <c r="I49" i="10"/>
  <c r="E50" i="10"/>
  <c r="G50" i="10"/>
  <c r="I50" i="10"/>
  <c r="I51" i="10"/>
  <c r="E55" i="10"/>
  <c r="G55" i="10"/>
  <c r="I55" i="10"/>
  <c r="J26" i="10"/>
  <c r="G37" i="10"/>
  <c r="E57" i="10"/>
  <c r="H37" i="10"/>
  <c r="G57" i="10"/>
  <c r="H57" i="10"/>
  <c r="G38" i="10"/>
  <c r="E58" i="10"/>
  <c r="H38" i="10"/>
  <c r="G58" i="10"/>
  <c r="H58" i="10"/>
  <c r="G39" i="10"/>
  <c r="E59" i="10"/>
  <c r="H39" i="10"/>
  <c r="G59" i="10"/>
  <c r="H59" i="10"/>
  <c r="G40" i="10"/>
  <c r="E60" i="10"/>
  <c r="H40" i="10"/>
  <c r="G60" i="10"/>
  <c r="H60" i="10"/>
  <c r="G41" i="10"/>
  <c r="E61" i="10"/>
  <c r="H41" i="10"/>
  <c r="G61" i="10"/>
  <c r="H61" i="10"/>
  <c r="G42" i="10"/>
  <c r="E62" i="10"/>
  <c r="H42" i="10"/>
  <c r="G62" i="10"/>
  <c r="H62" i="10"/>
  <c r="G43" i="10"/>
  <c r="E63" i="10"/>
  <c r="H43" i="10"/>
  <c r="G63" i="10"/>
  <c r="H63" i="10"/>
  <c r="G44" i="10"/>
  <c r="E64" i="10"/>
  <c r="H44" i="10"/>
  <c r="G64" i="10"/>
  <c r="H64" i="10"/>
  <c r="G45" i="10"/>
  <c r="E65" i="10"/>
  <c r="H45" i="10"/>
  <c r="G65" i="10"/>
  <c r="H65" i="10"/>
  <c r="E66" i="10"/>
  <c r="H46" i="10"/>
  <c r="G66" i="10"/>
  <c r="H66" i="10"/>
  <c r="I56" i="10"/>
  <c r="I67" i="10"/>
  <c r="I68" i="10"/>
  <c r="D32" i="10"/>
  <c r="I69" i="10"/>
  <c r="I70" i="10"/>
  <c r="I71" i="10"/>
  <c r="I72" i="10"/>
  <c r="I74" i="10"/>
  <c r="E95" i="10"/>
  <c r="I80" i="10"/>
  <c r="I78" i="10"/>
  <c r="I79" i="10"/>
  <c r="I81" i="10"/>
  <c r="G86" i="10"/>
  <c r="G86" i="11"/>
  <c r="H84" i="10"/>
  <c r="E49" i="11"/>
  <c r="E50" i="11"/>
  <c r="E55" i="11"/>
  <c r="J26" i="11"/>
  <c r="G37" i="11"/>
  <c r="E57" i="11"/>
  <c r="H37" i="11"/>
  <c r="G57" i="11"/>
  <c r="H57" i="11"/>
  <c r="G38" i="11"/>
  <c r="E58" i="11"/>
  <c r="H38" i="11"/>
  <c r="G58" i="11"/>
  <c r="H58" i="11"/>
  <c r="G39" i="11"/>
  <c r="E59" i="11"/>
  <c r="G40" i="11"/>
  <c r="E60" i="11"/>
  <c r="G41" i="11"/>
  <c r="E61" i="11"/>
  <c r="G42" i="11"/>
  <c r="E62" i="11"/>
  <c r="G43" i="11"/>
  <c r="E63" i="11"/>
  <c r="G44" i="11"/>
  <c r="E64" i="11"/>
  <c r="G45" i="11"/>
  <c r="E65" i="11"/>
  <c r="G46" i="11"/>
  <c r="E66" i="11"/>
  <c r="H46" i="11"/>
  <c r="G66" i="11"/>
  <c r="H66" i="11"/>
  <c r="I67" i="11"/>
  <c r="I68" i="11"/>
  <c r="D32" i="11"/>
  <c r="I69" i="11"/>
  <c r="I70" i="11"/>
  <c r="I71" i="11"/>
  <c r="I79" i="11"/>
  <c r="I81" i="11"/>
  <c r="I82" i="11"/>
  <c r="H84" i="11"/>
  <c r="I82" i="10"/>
  <c r="E92" i="11"/>
  <c r="G51" i="9"/>
  <c r="H51" i="9"/>
  <c r="H38" i="9"/>
  <c r="G50" i="9"/>
  <c r="H50" i="9"/>
  <c r="H36" i="9"/>
  <c r="G48" i="9"/>
  <c r="H48" i="9"/>
  <c r="H37" i="9"/>
  <c r="G49" i="9"/>
  <c r="H49" i="9"/>
  <c r="H40" i="9"/>
  <c r="G52" i="9"/>
  <c r="H52" i="9"/>
  <c r="H41" i="9"/>
  <c r="G53" i="9"/>
  <c r="H53" i="9"/>
  <c r="H42" i="9"/>
  <c r="G54" i="9"/>
  <c r="H54" i="9"/>
  <c r="I56" i="9"/>
  <c r="I67" i="9"/>
  <c r="I66" i="9"/>
  <c r="I69" i="9"/>
  <c r="I70" i="9"/>
  <c r="E93" i="11"/>
  <c r="E99" i="11"/>
  <c r="B104" i="11"/>
  <c r="E104" i="11"/>
  <c r="F99" i="11"/>
  <c r="F104" i="11"/>
  <c r="G99" i="11"/>
  <c r="G104" i="11"/>
  <c r="H99" i="11"/>
  <c r="H104" i="11"/>
  <c r="I99" i="11"/>
  <c r="I104" i="11"/>
  <c r="D99" i="11"/>
  <c r="D104" i="11"/>
  <c r="B103" i="11"/>
  <c r="E103" i="11"/>
  <c r="F103" i="11"/>
  <c r="G103" i="11"/>
  <c r="H103" i="11"/>
  <c r="I103" i="11"/>
  <c r="D103" i="11"/>
  <c r="B102" i="11"/>
  <c r="I102" i="11"/>
  <c r="E102" i="11"/>
  <c r="F102" i="11"/>
  <c r="G102" i="11"/>
  <c r="H102" i="11"/>
  <c r="D102" i="11"/>
  <c r="B101" i="11"/>
  <c r="I101" i="11"/>
  <c r="E101" i="11"/>
  <c r="F101" i="11"/>
  <c r="G101" i="11"/>
  <c r="H101" i="11"/>
  <c r="D101" i="11"/>
  <c r="B100" i="11"/>
  <c r="I100" i="11"/>
  <c r="D100" i="11"/>
  <c r="E100" i="11"/>
  <c r="F100" i="11"/>
  <c r="G100" i="11"/>
  <c r="H100" i="11"/>
  <c r="D122" i="10"/>
  <c r="D112" i="10"/>
  <c r="H100" i="10"/>
  <c r="I100" i="10"/>
  <c r="B105" i="10"/>
  <c r="I105" i="10"/>
  <c r="E100" i="10"/>
  <c r="E105" i="10"/>
  <c r="F100" i="10"/>
  <c r="F105" i="10"/>
  <c r="G100" i="10"/>
  <c r="G105" i="10"/>
  <c r="H105" i="10"/>
  <c r="D100" i="10"/>
  <c r="D105" i="10"/>
  <c r="B104" i="10"/>
  <c r="E104" i="10"/>
  <c r="F104" i="10"/>
  <c r="G104" i="10"/>
  <c r="H104" i="10"/>
  <c r="I104" i="10"/>
  <c r="D104" i="10"/>
  <c r="B103" i="10"/>
  <c r="E103" i="10"/>
  <c r="F103" i="10"/>
  <c r="G103" i="10"/>
  <c r="H103" i="10"/>
  <c r="I103" i="10"/>
  <c r="D103" i="10"/>
  <c r="B102" i="10"/>
  <c r="I102" i="10"/>
  <c r="H102" i="10"/>
  <c r="G102" i="10"/>
  <c r="F102" i="10"/>
  <c r="E102" i="10"/>
  <c r="D102" i="10"/>
  <c r="B101" i="10"/>
  <c r="I101" i="10"/>
  <c r="H101" i="10"/>
  <c r="G101" i="10"/>
  <c r="F101" i="10"/>
  <c r="E101" i="10"/>
  <c r="D101" i="10"/>
  <c r="D120" i="2"/>
  <c r="E108" i="2"/>
  <c r="B113" i="2"/>
  <c r="E113" i="2"/>
  <c r="F108" i="2"/>
  <c r="F113" i="2"/>
  <c r="G108" i="2"/>
  <c r="G113" i="2"/>
  <c r="H108" i="2"/>
  <c r="H113" i="2"/>
  <c r="I108" i="2"/>
  <c r="I113" i="2"/>
  <c r="D108" i="2"/>
  <c r="D113" i="2"/>
  <c r="B112" i="2"/>
  <c r="I112" i="2"/>
  <c r="H112" i="2"/>
  <c r="G112" i="2"/>
  <c r="F112" i="2"/>
  <c r="E112" i="2"/>
  <c r="D112" i="2"/>
  <c r="B111" i="2"/>
  <c r="I111" i="2"/>
  <c r="H111" i="2"/>
  <c r="G111" i="2"/>
  <c r="F111" i="2"/>
  <c r="E111" i="2"/>
  <c r="D111" i="2"/>
  <c r="B110" i="2"/>
  <c r="I110" i="2"/>
  <c r="H110" i="2"/>
  <c r="G110" i="2"/>
  <c r="F110" i="2"/>
  <c r="E110" i="2"/>
  <c r="D110" i="2"/>
  <c r="B109" i="2"/>
  <c r="I109" i="2"/>
  <c r="E109" i="2"/>
  <c r="F109" i="2"/>
  <c r="G109" i="2"/>
  <c r="H109" i="2"/>
  <c r="D109" i="2"/>
  <c r="E91" i="3"/>
  <c r="C91" i="3"/>
  <c r="B94" i="3"/>
  <c r="B92" i="3"/>
  <c r="C92" i="3"/>
  <c r="E89" i="10"/>
  <c r="I89" i="10"/>
  <c r="B93" i="14"/>
  <c r="B94" i="14"/>
  <c r="B95" i="14"/>
  <c r="B96" i="14"/>
  <c r="B97" i="14"/>
  <c r="D91" i="14"/>
  <c r="C91" i="14"/>
  <c r="C97" i="14"/>
  <c r="G45" i="14"/>
  <c r="D97" i="9"/>
  <c r="B103" i="9"/>
  <c r="B93" i="9"/>
  <c r="G46" i="10"/>
  <c r="C8" i="18"/>
  <c r="C5" i="18"/>
  <c r="C4" i="18"/>
  <c r="C6" i="18"/>
  <c r="C3" i="18"/>
  <c r="I2" i="11"/>
  <c r="I2" i="10"/>
  <c r="H2" i="3"/>
  <c r="E3" i="2"/>
  <c r="B3" i="3"/>
  <c r="D3" i="3"/>
  <c r="G3" i="3"/>
  <c r="H2" i="14"/>
  <c r="C46" i="11"/>
  <c r="C45" i="11"/>
  <c r="C44" i="11"/>
  <c r="C43" i="11"/>
  <c r="C42" i="11"/>
  <c r="C41" i="11"/>
  <c r="C40" i="11"/>
  <c r="C39" i="11"/>
  <c r="C38" i="11"/>
  <c r="C37" i="11"/>
  <c r="C46" i="10"/>
  <c r="C45" i="10"/>
  <c r="C44" i="10"/>
  <c r="C43" i="10"/>
  <c r="C42" i="10"/>
  <c r="C41" i="10"/>
  <c r="C40" i="10"/>
  <c r="C39" i="10"/>
  <c r="C38" i="10"/>
  <c r="C37" i="10"/>
  <c r="B40" i="3"/>
  <c r="B39" i="3"/>
  <c r="B38" i="3"/>
  <c r="B37" i="3"/>
  <c r="B36" i="3"/>
  <c r="B35" i="3"/>
  <c r="B34" i="3"/>
  <c r="B33" i="3"/>
  <c r="B32" i="3"/>
  <c r="B31" i="3"/>
  <c r="I60" i="9"/>
  <c r="B54" i="2"/>
  <c r="B73" i="2"/>
  <c r="B53" i="2"/>
  <c r="B52" i="2"/>
  <c r="B51" i="2"/>
  <c r="B50" i="2"/>
  <c r="B49" i="2"/>
  <c r="B48" i="2"/>
  <c r="B47" i="2"/>
  <c r="B46" i="2"/>
  <c r="B45" i="2"/>
  <c r="H43" i="9"/>
  <c r="H35" i="9"/>
  <c r="H34" i="9"/>
  <c r="B43" i="9"/>
  <c r="B42" i="9"/>
  <c r="B41" i="9"/>
  <c r="B40" i="9"/>
  <c r="B39" i="9"/>
  <c r="B38" i="9"/>
  <c r="B37" i="9"/>
  <c r="B36" i="9"/>
  <c r="B35" i="9"/>
  <c r="B34" i="9"/>
  <c r="B39" i="14"/>
  <c r="H58" i="14"/>
  <c r="H57" i="14"/>
  <c r="H56" i="14"/>
  <c r="H55" i="14"/>
  <c r="H54" i="14"/>
  <c r="H53" i="14"/>
  <c r="H52" i="14"/>
  <c r="H51" i="14"/>
  <c r="H50" i="14"/>
  <c r="H49" i="14"/>
  <c r="B58" i="14"/>
  <c r="B57" i="14"/>
  <c r="B56" i="14"/>
  <c r="B55" i="14"/>
  <c r="B54" i="14"/>
  <c r="B53" i="14"/>
  <c r="B52" i="14"/>
  <c r="B51" i="14"/>
  <c r="B50" i="14"/>
  <c r="B49" i="14"/>
  <c r="B45" i="14"/>
  <c r="B44" i="14"/>
  <c r="B43" i="14"/>
  <c r="B42" i="14"/>
  <c r="B41" i="14"/>
  <c r="B40" i="14"/>
  <c r="B38" i="14"/>
  <c r="B37" i="14"/>
  <c r="B36" i="14"/>
  <c r="I74" i="9"/>
  <c r="I75" i="9"/>
  <c r="B102" i="9"/>
  <c r="B101" i="9"/>
  <c r="B100" i="9"/>
  <c r="B92" i="9"/>
  <c r="B91" i="9"/>
  <c r="B90" i="9"/>
  <c r="F99" i="9"/>
  <c r="F89" i="9"/>
  <c r="D87" i="9"/>
  <c r="E91" i="14"/>
  <c r="F91" i="14"/>
  <c r="G91" i="14"/>
  <c r="H91" i="14"/>
  <c r="I91" i="14"/>
  <c r="C70" i="14"/>
  <c r="C69" i="14"/>
  <c r="C68" i="14"/>
  <c r="C67" i="14"/>
  <c r="C66" i="14"/>
  <c r="C65" i="14"/>
  <c r="C64" i="14"/>
  <c r="C63" i="14"/>
  <c r="C62" i="14"/>
  <c r="C61" i="14"/>
  <c r="J24" i="14"/>
  <c r="E89" i="11"/>
  <c r="I89" i="11"/>
  <c r="F88" i="11"/>
  <c r="F85" i="11"/>
  <c r="G77" i="11"/>
  <c r="B66" i="11"/>
  <c r="B65" i="11"/>
  <c r="B64" i="11"/>
  <c r="B63" i="11"/>
  <c r="B62" i="11"/>
  <c r="B61" i="11"/>
  <c r="B60" i="11"/>
  <c r="B59" i="11"/>
  <c r="B58" i="11"/>
  <c r="B57" i="11"/>
  <c r="H120" i="11"/>
  <c r="D3" i="11"/>
  <c r="H3" i="11"/>
  <c r="F3" i="11"/>
  <c r="B66" i="10"/>
  <c r="E121" i="10"/>
  <c r="E109" i="10"/>
  <c r="F88" i="10"/>
  <c r="F85" i="10"/>
  <c r="G77" i="10"/>
  <c r="B65" i="10"/>
  <c r="B64" i="10"/>
  <c r="B63" i="10"/>
  <c r="B62" i="10"/>
  <c r="B61" i="10"/>
  <c r="B60" i="10"/>
  <c r="B59" i="10"/>
  <c r="B58" i="10"/>
  <c r="B57" i="10"/>
  <c r="H121" i="10"/>
  <c r="C3" i="10"/>
  <c r="G3" i="10"/>
  <c r="E3" i="10"/>
  <c r="H111" i="10"/>
  <c r="G110" i="11"/>
  <c r="E108" i="11"/>
  <c r="H110" i="11"/>
  <c r="E118" i="11"/>
  <c r="D120" i="11"/>
  <c r="D111" i="10"/>
  <c r="F121" i="10"/>
  <c r="G111" i="10"/>
  <c r="I121" i="10"/>
  <c r="E111" i="10"/>
  <c r="I111" i="10"/>
  <c r="E119" i="10"/>
  <c r="G121" i="10"/>
  <c r="F111" i="10"/>
  <c r="D121" i="10"/>
  <c r="E92" i="10"/>
  <c r="D79" i="9"/>
  <c r="C79" i="9"/>
  <c r="G66" i="9"/>
  <c r="G65" i="9"/>
  <c r="E65" i="9"/>
  <c r="E66" i="9"/>
  <c r="F43" i="9"/>
  <c r="E55" i="9"/>
  <c r="J20" i="9"/>
  <c r="J19" i="9"/>
  <c r="G41" i="9"/>
  <c r="E53" i="9"/>
  <c r="B81" i="9"/>
  <c r="B82" i="9"/>
  <c r="B83" i="9"/>
  <c r="B84" i="9"/>
  <c r="B85" i="9"/>
  <c r="I61" i="9"/>
  <c r="I59" i="9"/>
  <c r="I58" i="9"/>
  <c r="I57" i="9"/>
  <c r="G55" i="9"/>
  <c r="C55" i="9"/>
  <c r="C54" i="9"/>
  <c r="C53" i="9"/>
  <c r="C52" i="9"/>
  <c r="C51" i="9"/>
  <c r="C50" i="9"/>
  <c r="C49" i="9"/>
  <c r="C48" i="9"/>
  <c r="G47" i="9"/>
  <c r="C47" i="9"/>
  <c r="G46" i="9"/>
  <c r="C46" i="9"/>
  <c r="G38" i="9"/>
  <c r="E50" i="9"/>
  <c r="G35" i="9"/>
  <c r="E47" i="9"/>
  <c r="E109" i="3"/>
  <c r="B95" i="3"/>
  <c r="E111" i="3"/>
  <c r="C60" i="3"/>
  <c r="C59" i="3"/>
  <c r="C58" i="3"/>
  <c r="C57" i="3"/>
  <c r="C56" i="3"/>
  <c r="C55" i="3"/>
  <c r="C54" i="3"/>
  <c r="C53" i="3"/>
  <c r="C52" i="3"/>
  <c r="C51" i="3"/>
  <c r="B72" i="2"/>
  <c r="B71" i="2"/>
  <c r="B70" i="2"/>
  <c r="B69" i="2"/>
  <c r="B68" i="2"/>
  <c r="B67" i="2"/>
  <c r="B66" i="2"/>
  <c r="B65" i="2"/>
  <c r="B64" i="2"/>
  <c r="D81" i="3"/>
  <c r="G69" i="3"/>
  <c r="I129" i="2"/>
  <c r="E97" i="2"/>
  <c r="I97" i="2"/>
  <c r="F96" i="2"/>
  <c r="F93" i="2"/>
  <c r="G85" i="2"/>
  <c r="C3" i="2"/>
  <c r="G3" i="2"/>
  <c r="I81" i="3"/>
  <c r="F91" i="3"/>
  <c r="D93" i="14"/>
  <c r="F110" i="11"/>
  <c r="D110" i="11"/>
  <c r="G120" i="11"/>
  <c r="E110" i="11"/>
  <c r="E120" i="11"/>
  <c r="I110" i="11"/>
  <c r="F120" i="11"/>
  <c r="I120" i="11"/>
  <c r="E99" i="3"/>
  <c r="E101" i="3"/>
  <c r="B96" i="3"/>
  <c r="D111" i="3"/>
  <c r="F111" i="3"/>
  <c r="G111" i="3"/>
  <c r="H111" i="3"/>
  <c r="C111" i="3"/>
  <c r="D91" i="3"/>
  <c r="H91" i="3"/>
  <c r="G91" i="3"/>
  <c r="F80" i="3"/>
  <c r="F77" i="3"/>
  <c r="B93" i="3"/>
  <c r="B104" i="9"/>
  <c r="B105" i="9"/>
  <c r="D129" i="2"/>
  <c r="H119" i="2"/>
  <c r="E129" i="2"/>
  <c r="E117" i="2"/>
  <c r="E127" i="2"/>
  <c r="G129" i="2"/>
  <c r="G119" i="2"/>
  <c r="G37" i="9"/>
  <c r="E49" i="9"/>
  <c r="H55" i="9"/>
  <c r="G36" i="9"/>
  <c r="E48" i="9"/>
  <c r="G40" i="9"/>
  <c r="E52" i="9"/>
  <c r="B94" i="9"/>
  <c r="B95" i="9"/>
  <c r="G39" i="9"/>
  <c r="E51" i="9"/>
  <c r="G42" i="9"/>
  <c r="E54" i="9"/>
  <c r="I68" i="9"/>
  <c r="G34" i="9"/>
  <c r="E46" i="9"/>
  <c r="H46" i="9"/>
  <c r="I65" i="9"/>
  <c r="H47" i="9"/>
  <c r="E79" i="9"/>
  <c r="F79" i="9"/>
  <c r="G79" i="9"/>
  <c r="H79" i="9"/>
  <c r="I79" i="9"/>
  <c r="D119" i="2"/>
  <c r="H129" i="2"/>
  <c r="I119" i="2"/>
  <c r="F129" i="2"/>
  <c r="F119" i="2"/>
  <c r="E119" i="2"/>
  <c r="I77" i="14"/>
  <c r="G92" i="14"/>
  <c r="G96" i="14"/>
  <c r="H96" i="14"/>
  <c r="F92" i="14"/>
  <c r="G93" i="14"/>
  <c r="G97" i="14"/>
  <c r="I92" i="14"/>
  <c r="F94" i="14"/>
  <c r="G94" i="14"/>
  <c r="H92" i="14"/>
  <c r="I94" i="14"/>
  <c r="F96" i="14"/>
  <c r="G95" i="14"/>
  <c r="H94" i="14"/>
  <c r="I96" i="14"/>
  <c r="F95" i="14"/>
  <c r="D95" i="14"/>
  <c r="D97" i="14"/>
  <c r="E93" i="14"/>
  <c r="E95" i="14"/>
  <c r="E97" i="14"/>
  <c r="H93" i="14"/>
  <c r="H95" i="14"/>
  <c r="H97" i="14"/>
  <c r="I93" i="14"/>
  <c r="I95" i="14"/>
  <c r="F93" i="14"/>
  <c r="F97" i="14"/>
  <c r="D92" i="14"/>
  <c r="D94" i="14"/>
  <c r="D96" i="14"/>
  <c r="E92" i="14"/>
  <c r="E94" i="14"/>
  <c r="E96" i="14"/>
  <c r="I81" i="9"/>
  <c r="D101" i="3"/>
  <c r="G101" i="3"/>
  <c r="H101" i="3"/>
  <c r="F101" i="3"/>
  <c r="C101" i="3"/>
  <c r="I85" i="9"/>
  <c r="F81" i="9"/>
  <c r="E85" i="9"/>
  <c r="F80" i="9"/>
  <c r="F82" i="9"/>
  <c r="D82" i="9"/>
  <c r="G82" i="9"/>
  <c r="I84" i="9"/>
  <c r="H81" i="9"/>
  <c r="C84" i="9"/>
  <c r="D84" i="9"/>
  <c r="D85" i="9"/>
  <c r="G85" i="9"/>
  <c r="F85" i="9"/>
  <c r="F84" i="9"/>
  <c r="F83" i="9"/>
  <c r="D80" i="9"/>
  <c r="E81" i="9"/>
  <c r="D81" i="9"/>
  <c r="C82" i="9"/>
  <c r="C80" i="9"/>
  <c r="H80" i="9"/>
  <c r="D83" i="9"/>
  <c r="C83" i="9"/>
  <c r="G81" i="9"/>
  <c r="H85" i="9"/>
  <c r="E82" i="9"/>
  <c r="H82" i="9"/>
  <c r="C81" i="9"/>
  <c r="I82" i="9"/>
  <c r="E84" i="9"/>
  <c r="H84" i="9"/>
  <c r="G84" i="9"/>
  <c r="C85" i="9"/>
  <c r="I83" i="9"/>
  <c r="I80" i="9"/>
  <c r="G83" i="9"/>
  <c r="G80" i="9"/>
  <c r="E83" i="9"/>
  <c r="E80" i="9"/>
  <c r="H83" i="9"/>
  <c r="C94" i="14"/>
  <c r="C95" i="14"/>
  <c r="C93" i="14"/>
  <c r="C96" i="14"/>
  <c r="E93" i="10"/>
  <c r="D85" i="3"/>
  <c r="E100" i="2"/>
  <c r="E91" i="11"/>
  <c r="D84" i="3"/>
  <c r="I62" i="9"/>
  <c r="E94" i="10"/>
  <c r="E101" i="2"/>
  <c r="F101" i="9"/>
  <c r="D102" i="9"/>
  <c r="H102" i="9"/>
  <c r="F103" i="9"/>
  <c r="D104" i="9"/>
  <c r="H104" i="9"/>
  <c r="F105" i="9"/>
  <c r="I100" i="9"/>
  <c r="E100" i="9"/>
  <c r="C104" i="9"/>
  <c r="F91" i="9"/>
  <c r="D92" i="9"/>
  <c r="H92" i="9"/>
  <c r="F93" i="9"/>
  <c r="D94" i="9"/>
  <c r="H94" i="9"/>
  <c r="F95" i="9"/>
  <c r="I90" i="9"/>
  <c r="E90" i="9"/>
  <c r="C93" i="9"/>
  <c r="D101" i="9"/>
  <c r="F102" i="9"/>
  <c r="H103" i="9"/>
  <c r="D105" i="9"/>
  <c r="G100" i="9"/>
  <c r="C102" i="9"/>
  <c r="H91" i="9"/>
  <c r="D93" i="9"/>
  <c r="F94" i="9"/>
  <c r="H95" i="9"/>
  <c r="C91" i="9"/>
  <c r="E101" i="9"/>
  <c r="G102" i="9"/>
  <c r="I103" i="9"/>
  <c r="E105" i="9"/>
  <c r="F100" i="9"/>
  <c r="C101" i="9"/>
  <c r="I91" i="9"/>
  <c r="E93" i="9"/>
  <c r="G94" i="9"/>
  <c r="I95" i="9"/>
  <c r="C92" i="9"/>
  <c r="G101" i="9"/>
  <c r="E102" i="9"/>
  <c r="I102" i="9"/>
  <c r="G103" i="9"/>
  <c r="E104" i="9"/>
  <c r="I104" i="9"/>
  <c r="G105" i="9"/>
  <c r="H100" i="9"/>
  <c r="D100" i="9"/>
  <c r="C103" i="9"/>
  <c r="G91" i="9"/>
  <c r="E92" i="9"/>
  <c r="I92" i="9"/>
  <c r="G93" i="9"/>
  <c r="E94" i="9"/>
  <c r="I94" i="9"/>
  <c r="G95" i="9"/>
  <c r="H90" i="9"/>
  <c r="D90" i="9"/>
  <c r="C94" i="9"/>
  <c r="H101" i="9"/>
  <c r="D103" i="9"/>
  <c r="F104" i="9"/>
  <c r="H105" i="9"/>
  <c r="C100" i="9"/>
  <c r="D91" i="9"/>
  <c r="F92" i="9"/>
  <c r="H93" i="9"/>
  <c r="D95" i="9"/>
  <c r="G90" i="9"/>
  <c r="C95" i="9"/>
  <c r="I101" i="9"/>
  <c r="E103" i="9"/>
  <c r="G104" i="9"/>
  <c r="I105" i="9"/>
  <c r="C105" i="9"/>
  <c r="E91" i="9"/>
  <c r="G92" i="9"/>
  <c r="I93" i="9"/>
  <c r="E95" i="9"/>
  <c r="F90" i="9"/>
  <c r="C90" i="9"/>
  <c r="F94" i="3"/>
  <c r="C124" i="11"/>
  <c r="I125" i="11"/>
  <c r="E124" i="11"/>
  <c r="I123" i="11"/>
  <c r="G111" i="11"/>
  <c r="D115" i="11"/>
  <c r="G112" i="11"/>
  <c r="I112" i="11"/>
  <c r="D125" i="11"/>
  <c r="G122" i="11"/>
  <c r="D122" i="11"/>
  <c r="D121" i="11"/>
  <c r="H124" i="11"/>
  <c r="G125" i="11"/>
  <c r="F122" i="11"/>
  <c r="D113" i="11"/>
  <c r="C123" i="11"/>
  <c r="C113" i="11"/>
  <c r="D111" i="11"/>
  <c r="H113" i="11"/>
  <c r="F125" i="11"/>
  <c r="H123" i="11"/>
  <c r="I124" i="11"/>
  <c r="F123" i="11"/>
  <c r="I114" i="11"/>
  <c r="E122" i="11"/>
  <c r="C115" i="11"/>
  <c r="C125" i="11"/>
  <c r="C122" i="11"/>
  <c r="F113" i="11"/>
  <c r="H114" i="11"/>
  <c r="I122" i="11"/>
  <c r="E121" i="11"/>
  <c r="G113" i="11"/>
  <c r="G115" i="11"/>
  <c r="E123" i="11"/>
  <c r="H111" i="11"/>
  <c r="F112" i="11"/>
  <c r="F111" i="11"/>
  <c r="D112" i="11"/>
  <c r="D123" i="11"/>
  <c r="G124" i="11"/>
  <c r="E111" i="11"/>
  <c r="E113" i="11"/>
  <c r="C111" i="11"/>
  <c r="C121" i="11"/>
  <c r="I121" i="11"/>
  <c r="C114" i="11"/>
  <c r="F121" i="11"/>
  <c r="G121" i="11"/>
  <c r="H125" i="11"/>
  <c r="D124" i="11"/>
  <c r="H122" i="11"/>
  <c r="E125" i="11"/>
  <c r="F115" i="11"/>
  <c r="G114" i="11"/>
  <c r="E115" i="11"/>
  <c r="E114" i="11"/>
  <c r="F114" i="11"/>
  <c r="I115" i="11"/>
  <c r="H112" i="11"/>
  <c r="D114" i="11"/>
  <c r="C112" i="11"/>
  <c r="I111" i="11"/>
  <c r="I113" i="11"/>
  <c r="H121" i="11"/>
  <c r="G123" i="11"/>
  <c r="F124" i="11"/>
  <c r="E112" i="11"/>
  <c r="H115" i="11"/>
  <c r="C112" i="10"/>
  <c r="C114" i="10"/>
  <c r="C123" i="10"/>
  <c r="H124" i="10"/>
  <c r="I126" i="10"/>
  <c r="G126" i="10"/>
  <c r="E112" i="10"/>
  <c r="F123" i="10"/>
  <c r="D115" i="10"/>
  <c r="F116" i="10"/>
  <c r="D116" i="10"/>
  <c r="E115" i="10"/>
  <c r="E124" i="10"/>
  <c r="F114" i="10"/>
  <c r="F124" i="10"/>
  <c r="E113" i="10"/>
  <c r="H122" i="10"/>
  <c r="C126" i="10"/>
  <c r="F126" i="10"/>
  <c r="C125" i="10"/>
  <c r="D124" i="10"/>
  <c r="G115" i="10"/>
  <c r="H114" i="10"/>
  <c r="D123" i="10"/>
  <c r="E126" i="10"/>
  <c r="F125" i="10"/>
  <c r="G125" i="10"/>
  <c r="I112" i="10"/>
  <c r="I123" i="10"/>
  <c r="E114" i="10"/>
  <c r="H123" i="10"/>
  <c r="G112" i="10"/>
  <c r="H115" i="10"/>
  <c r="E116" i="10"/>
  <c r="C124" i="10"/>
  <c r="C122" i="10"/>
  <c r="I122" i="10"/>
  <c r="E125" i="10"/>
  <c r="C113" i="10"/>
  <c r="F122" i="10"/>
  <c r="E123" i="10"/>
  <c r="H113" i="10"/>
  <c r="G114" i="10"/>
  <c r="I114" i="10"/>
  <c r="D113" i="10"/>
  <c r="G122" i="10"/>
  <c r="H126" i="10"/>
  <c r="G124" i="10"/>
  <c r="G113" i="10"/>
  <c r="D125" i="10"/>
  <c r="I124" i="10"/>
  <c r="F115" i="10"/>
  <c r="C116" i="10"/>
  <c r="G123" i="10"/>
  <c r="I125" i="10"/>
  <c r="C115" i="10"/>
  <c r="I116" i="10"/>
  <c r="D126" i="10"/>
  <c r="G116" i="10"/>
  <c r="E122" i="10"/>
  <c r="I113" i="10"/>
  <c r="F112" i="10"/>
  <c r="F113" i="10"/>
  <c r="H112" i="10"/>
  <c r="I115" i="10"/>
  <c r="H116" i="10"/>
  <c r="D114" i="10"/>
  <c r="H125" i="10"/>
  <c r="E96" i="3"/>
  <c r="D96" i="3"/>
  <c r="C96" i="3"/>
  <c r="I74" i="3"/>
  <c r="H96" i="3"/>
  <c r="C95" i="3"/>
  <c r="G93" i="3"/>
  <c r="C94" i="3"/>
  <c r="F96" i="3"/>
  <c r="G92" i="3"/>
  <c r="G95" i="3"/>
  <c r="E93" i="3"/>
  <c r="D95" i="3"/>
  <c r="G96" i="3"/>
  <c r="E92" i="3"/>
  <c r="H94" i="3"/>
  <c r="D92" i="3"/>
  <c r="C93" i="3"/>
  <c r="B104" i="3"/>
  <c r="H95" i="3"/>
  <c r="F92" i="3"/>
  <c r="D93" i="3"/>
  <c r="G94" i="3"/>
  <c r="F95" i="3"/>
  <c r="E94" i="3"/>
  <c r="E95" i="3"/>
  <c r="F93" i="3"/>
  <c r="H93" i="3"/>
  <c r="D94" i="3"/>
  <c r="H92" i="3"/>
  <c r="B114" i="3"/>
  <c r="D134" i="2"/>
  <c r="E122" i="2"/>
  <c r="H114" i="3"/>
  <c r="D114" i="3"/>
  <c r="G114" i="3"/>
  <c r="C114" i="3"/>
  <c r="B116" i="3"/>
  <c r="F114" i="3"/>
  <c r="B113" i="3"/>
  <c r="B115" i="3"/>
  <c r="E114" i="3"/>
  <c r="B112" i="3"/>
  <c r="B106" i="3"/>
  <c r="F104" i="3"/>
  <c r="B103" i="3"/>
  <c r="B105" i="3"/>
  <c r="E104" i="3"/>
  <c r="B102" i="3"/>
  <c r="H104" i="3"/>
  <c r="D104" i="3"/>
  <c r="G104" i="3"/>
  <c r="C104" i="3"/>
  <c r="D122" i="2"/>
  <c r="D131" i="2"/>
  <c r="I90" i="2"/>
  <c r="I121" i="2"/>
  <c r="F131" i="2"/>
  <c r="G130" i="2"/>
  <c r="I124" i="2"/>
  <c r="I120" i="2"/>
  <c r="F132" i="2"/>
  <c r="H123" i="2"/>
  <c r="I123" i="2"/>
  <c r="C123" i="2"/>
  <c r="G120" i="2"/>
  <c r="H134" i="2"/>
  <c r="F130" i="2"/>
  <c r="E133" i="2"/>
  <c r="F133" i="2"/>
  <c r="C122" i="2"/>
  <c r="G124" i="2"/>
  <c r="E134" i="2"/>
  <c r="G121" i="2"/>
  <c r="H131" i="2"/>
  <c r="C130" i="2"/>
  <c r="I130" i="2"/>
  <c r="C120" i="2"/>
  <c r="E130" i="2"/>
  <c r="E121" i="2"/>
  <c r="E120" i="2"/>
  <c r="F134" i="2"/>
  <c r="F124" i="2"/>
  <c r="C134" i="2"/>
  <c r="G132" i="2"/>
  <c r="G131" i="2"/>
  <c r="I122" i="2"/>
  <c r="C133" i="2"/>
  <c r="F122" i="2"/>
  <c r="C132" i="2"/>
  <c r="F121" i="2"/>
  <c r="C131" i="2"/>
  <c r="F120" i="2"/>
  <c r="H122" i="2"/>
  <c r="D130" i="2"/>
  <c r="E132" i="2"/>
  <c r="G134" i="2"/>
  <c r="D124" i="2"/>
  <c r="H133" i="2"/>
  <c r="D123" i="2"/>
  <c r="H132" i="2"/>
  <c r="D121" i="2"/>
  <c r="F123" i="2"/>
  <c r="E131" i="2"/>
  <c r="G133" i="2"/>
  <c r="G123" i="2"/>
  <c r="D133" i="2"/>
  <c r="G122" i="2"/>
  <c r="D132" i="2"/>
  <c r="C121" i="2"/>
  <c r="E123" i="2"/>
  <c r="H130" i="2"/>
  <c r="I132" i="2"/>
  <c r="H120" i="2"/>
  <c r="H124" i="2"/>
  <c r="I134" i="2"/>
  <c r="E124" i="2"/>
  <c r="I133" i="2"/>
  <c r="H121" i="2"/>
  <c r="C124" i="2"/>
  <c r="I131" i="2"/>
  <c r="F106" i="3"/>
  <c r="E106" i="3"/>
  <c r="C106" i="3"/>
  <c r="H106" i="3"/>
  <c r="G106" i="3"/>
  <c r="D106" i="3"/>
  <c r="F113" i="3"/>
  <c r="E113" i="3"/>
  <c r="H113" i="3"/>
  <c r="D113" i="3"/>
  <c r="G113" i="3"/>
  <c r="C113" i="3"/>
  <c r="H105" i="3"/>
  <c r="D105" i="3"/>
  <c r="G105" i="3"/>
  <c r="C105" i="3"/>
  <c r="F105" i="3"/>
  <c r="E105" i="3"/>
  <c r="H112" i="3"/>
  <c r="D112" i="3"/>
  <c r="G112" i="3"/>
  <c r="C112" i="3"/>
  <c r="F112" i="3"/>
  <c r="E112" i="3"/>
  <c r="F103" i="3"/>
  <c r="E103" i="3"/>
  <c r="H103" i="3"/>
  <c r="D103" i="3"/>
  <c r="G103" i="3"/>
  <c r="C103" i="3"/>
  <c r="F116" i="3"/>
  <c r="E116" i="3"/>
  <c r="H116" i="3"/>
  <c r="D116" i="3"/>
  <c r="C116" i="3"/>
  <c r="G116" i="3"/>
  <c r="H102" i="3"/>
  <c r="D102" i="3"/>
  <c r="G102" i="3"/>
  <c r="C102" i="3"/>
  <c r="F102" i="3"/>
  <c r="E102" i="3"/>
  <c r="H115" i="3"/>
  <c r="D115" i="3"/>
  <c r="G115" i="3"/>
  <c r="C115" i="3"/>
  <c r="F115" i="3"/>
  <c r="E115" i="3"/>
</calcChain>
</file>

<file path=xl/comments1.xml><?xml version="1.0" encoding="utf-8"?>
<comments xmlns="http://schemas.openxmlformats.org/spreadsheetml/2006/main">
  <authors>
    <author>Heather Gessner</author>
  </authors>
  <commentList>
    <comment ref="C18" authorId="0">
      <text>
        <r>
          <rPr>
            <b/>
            <sz val="9"/>
            <color indexed="81"/>
            <rFont val="Tahoma"/>
            <family val="2"/>
          </rPr>
          <t>Heather Gessner:</t>
        </r>
        <r>
          <rPr>
            <sz val="9"/>
            <color indexed="81"/>
            <rFont val="Tahoma"/>
            <family val="2"/>
          </rPr>
          <t xml:space="preserve">
Bangs
Prebreed:
5-way, Lepto, Vibro
Ionophore
Other health expenses</t>
        </r>
      </text>
    </comment>
    <comment ref="C21" authorId="0">
      <text>
        <r>
          <rPr>
            <b/>
            <sz val="9"/>
            <color indexed="81"/>
            <rFont val="Tahoma"/>
            <family val="2"/>
          </rPr>
          <t>Heather Gessner:</t>
        </r>
        <r>
          <rPr>
            <sz val="9"/>
            <color indexed="81"/>
            <rFont val="Tahoma"/>
            <family val="2"/>
          </rPr>
          <t xml:space="preserve">
Syncronizaton 
Heat detection patches
Semen
</t>
        </r>
      </text>
    </comment>
    <comment ref="H21" authorId="0">
      <text>
        <r>
          <rPr>
            <b/>
            <sz val="9"/>
            <color indexed="81"/>
            <rFont val="Tahoma"/>
            <family val="2"/>
          </rPr>
          <t>Heather Gessner:</t>
        </r>
        <r>
          <rPr>
            <sz val="9"/>
            <color indexed="81"/>
            <rFont val="Tahoma"/>
            <family val="2"/>
          </rPr>
          <t xml:space="preserve">
830 pounds at $1.44
</t>
        </r>
      </text>
    </comment>
    <comment ref="H22" authorId="0">
      <text>
        <r>
          <rPr>
            <b/>
            <sz val="9"/>
            <color indexed="81"/>
            <rFont val="Tahoma"/>
            <family val="2"/>
          </rPr>
          <t>Heather Gessner:</t>
        </r>
        <r>
          <rPr>
            <sz val="9"/>
            <color indexed="81"/>
            <rFont val="Tahoma"/>
            <family val="2"/>
          </rPr>
          <t xml:space="preserve">
Either enough bull power to breed heifers, or cleanup bulls. Number will vary. </t>
        </r>
      </text>
    </comment>
    <comment ref="C27" authorId="0">
      <text>
        <r>
          <rPr>
            <b/>
            <sz val="9"/>
            <color indexed="81"/>
            <rFont val="Tahoma"/>
            <family val="2"/>
          </rPr>
          <t>Heather Gessner:</t>
        </r>
        <r>
          <rPr>
            <sz val="9"/>
            <color indexed="81"/>
            <rFont val="Tahoma"/>
            <family val="2"/>
          </rPr>
          <t xml:space="preserve">
In November  
500 pounds at $1.90
</t>
        </r>
      </text>
    </comment>
    <comment ref="C29" authorId="0">
      <text>
        <r>
          <rPr>
            <b/>
            <sz val="9"/>
            <color indexed="81"/>
            <rFont val="Tahoma"/>
            <family val="2"/>
          </rPr>
          <t>Heather Gessner:</t>
        </r>
        <r>
          <rPr>
            <sz val="9"/>
            <color indexed="81"/>
            <rFont val="Tahoma"/>
            <family val="2"/>
          </rPr>
          <t xml:space="preserve">
Weaned November 2015
Moved to pasture June 2016
Pregcheck November 2016</t>
        </r>
      </text>
    </comment>
  </commentList>
</comments>
</file>

<file path=xl/sharedStrings.xml><?xml version="1.0" encoding="utf-8"?>
<sst xmlns="http://schemas.openxmlformats.org/spreadsheetml/2006/main" count="986" uniqueCount="362">
  <si>
    <t xml:space="preserve">  Cells displayed in Blue are designed for users to INPUT data.</t>
  </si>
  <si>
    <t xml:space="preserve">  Cells displayed in Black contain formulas which calculate RESULTS based on user INPUT.</t>
  </si>
  <si>
    <t xml:space="preserve"> Farm Management Staff:</t>
  </si>
  <si>
    <t xml:space="preserve"> DESCRIPTION</t>
  </si>
  <si>
    <t xml:space="preserve"> # OF UNITS</t>
  </si>
  <si>
    <t xml:space="preserve">     # OF UNITS</t>
  </si>
  <si>
    <t>LIVESTOCK INCOME</t>
  </si>
  <si>
    <t>|</t>
  </si>
  <si>
    <t>(Budget is for one animal only.</t>
  </si>
  <si>
    <t>Enter values for only one animal</t>
  </si>
  <si>
    <t xml:space="preserve">or representative animal of </t>
  </si>
  <si>
    <t>herd.)</t>
  </si>
  <si>
    <t>OTHER COSTS</t>
  </si>
  <si>
    <t>RESULTS SECTION</t>
  </si>
  <si>
    <t xml:space="preserve">  I.  GROSS INCOME</t>
  </si>
  <si>
    <t>TOTAL INCOME</t>
  </si>
  <si>
    <t xml:space="preserve"> II.  OPERATING COSTS</t>
  </si>
  <si>
    <t xml:space="preserve"> </t>
  </si>
  <si>
    <t>cwt @</t>
  </si>
  <si>
    <t>Veterinary and drugs</t>
  </si>
  <si>
    <t>Supplies</t>
  </si>
  <si>
    <t>Marketing</t>
  </si>
  <si>
    <t>TOTAL DIRECT OPERATING COSTS</t>
  </si>
  <si>
    <t>III.  INCOME OVER DIRECT OPERATING COST (I minus II)</t>
  </si>
  <si>
    <t xml:space="preserve"> IV.  OTHER COSTS</t>
  </si>
  <si>
    <t>Effective Interest Rate</t>
  </si>
  <si>
    <t>Interest on Average Operating Capital Requirements</t>
  </si>
  <si>
    <t>Power and Utility Costs</t>
  </si>
  <si>
    <t>RETURN FOR LABOR &amp; FACILITIES</t>
  </si>
  <si>
    <t>Replacement charge per cow            (</t>
  </si>
  <si>
    <t>)</t>
  </si>
  <si>
    <t>Grain and forage</t>
  </si>
  <si>
    <t>(</t>
  </si>
  <si>
    <t>Other direct costs</t>
  </si>
  <si>
    <t>Hay</t>
  </si>
  <si>
    <t>Selling Price / cwt</t>
  </si>
  <si>
    <t xml:space="preserve">     DISCLAIMER</t>
  </si>
  <si>
    <t>Depreciation, Insurance, and Misc. on Average Capital Requirements</t>
  </si>
  <si>
    <t xml:space="preserve">(Marketing = yardage, feed, $ checkoff, trucking, </t>
  </si>
  <si>
    <t>and commission)</t>
  </si>
  <si>
    <t>Hired labor</t>
  </si>
  <si>
    <t>Gain</t>
  </si>
  <si>
    <t xml:space="preserve">      INPUT SECTION</t>
  </si>
  <si>
    <t>LIVESTOCK COSTS</t>
  </si>
  <si>
    <t>OTHER OPERATING COSTS</t>
  </si>
  <si>
    <t>Price Protection</t>
  </si>
  <si>
    <t>MISCELLANEOUS</t>
  </si>
  <si>
    <t>Yearling Steer or Heifer</t>
  </si>
  <si>
    <t>cwt X</t>
  </si>
  <si>
    <t>Death loss</t>
  </si>
  <si>
    <t xml:space="preserve">%  of  </t>
  </si>
  <si>
    <t>Steer or Heifer Calf</t>
  </si>
  <si>
    <t xml:space="preserve">cwt @ </t>
  </si>
  <si>
    <t>Price protection</t>
  </si>
  <si>
    <t>bu. @</t>
  </si>
  <si>
    <t>ton @</t>
  </si>
  <si>
    <t xml:space="preserve">     BREAKEVEN SELLING PRICE FOR YEARLING</t>
  </si>
  <si>
    <t>(When purchase price is</t>
  </si>
  <si>
    <t>/ cwt.)</t>
  </si>
  <si>
    <t>(cost of gain =</t>
  </si>
  <si>
    <t>cents per pound)</t>
  </si>
  <si>
    <t xml:space="preserve">     BREAKEVEN PURCHASE PRICE FOR FEEDER CALF</t>
  </si>
  <si>
    <t xml:space="preserve"> (When selling price is</t>
  </si>
  <si>
    <t>lbs.</t>
  </si>
  <si>
    <t xml:space="preserve">   AVERAGE DAILY GAIN:</t>
  </si>
  <si>
    <t>VI.  SUMMARY</t>
  </si>
  <si>
    <t xml:space="preserve">  Direct Operating Costs..........</t>
  </si>
  <si>
    <t xml:space="preserve">  Labor Return ($/hr @ 3 hrs).....</t>
  </si>
  <si>
    <t xml:space="preserve">  Total Gross Income..............</t>
  </si>
  <si>
    <t xml:space="preserve">  Operating Capital Return (%)....</t>
  </si>
  <si>
    <t xml:space="preserve">   RETURN TO LABOR, MANAGEMENT, AND FACILITIES </t>
  </si>
  <si>
    <t xml:space="preserve">        Selling Price / cwt with</t>
  </si>
  <si>
    <t>per hundredweight purchase price</t>
  </si>
  <si>
    <t>Months on Farm</t>
  </si>
  <si>
    <t xml:space="preserve">    RESULTS SECTION</t>
  </si>
  <si>
    <t xml:space="preserve">Slaughter Steer </t>
  </si>
  <si>
    <t>%  of</t>
  </si>
  <si>
    <t>Yearling Steer</t>
  </si>
  <si>
    <t xml:space="preserve">    Selling Price / cwt</t>
  </si>
  <si>
    <t>Selling Price / cwt with</t>
  </si>
  <si>
    <t>Hired Labor</t>
  </si>
  <si>
    <t>TOTAL FEED COST</t>
  </si>
  <si>
    <t>FEED COSTS</t>
  </si>
  <si>
    <t>TYPE</t>
  </si>
  <si>
    <t>cwt</t>
  </si>
  <si>
    <t>bu.</t>
  </si>
  <si>
    <t>ton</t>
  </si>
  <si>
    <t>Alfalfa</t>
  </si>
  <si>
    <t>Silage</t>
  </si>
  <si>
    <t>UNIT</t>
  </si>
  <si>
    <t xml:space="preserve"> Total Cwt sold:    </t>
  </si>
  <si>
    <t xml:space="preserve"> $/Cwt sold:        </t>
  </si>
  <si>
    <t xml:space="preserve"> Death loss, %:     </t>
  </si>
  <si>
    <t xml:space="preserve"> Total Cwt bought:  </t>
  </si>
  <si>
    <t xml:space="preserve"> $/Cwt bought:      </t>
  </si>
  <si>
    <t xml:space="preserve"> Vet.&amp; Drug expense:</t>
  </si>
  <si>
    <t xml:space="preserve"> Supplies purchased:</t>
  </si>
  <si>
    <t xml:space="preserve"> Marketing costs:   </t>
  </si>
  <si>
    <t xml:space="preserve"> Interest Rate:     </t>
  </si>
  <si>
    <t xml:space="preserve"> Power &amp; Util. cost:</t>
  </si>
  <si>
    <t xml:space="preserve"> Bldg&amp; Equip.Invest.</t>
  </si>
  <si>
    <t>PRICE</t>
  </si>
  <si>
    <t>TOTAL POUNDS GAINED:</t>
  </si>
  <si>
    <t xml:space="preserve">Cost of Gain </t>
  </si>
  <si>
    <t>Cost of Gain</t>
  </si>
  <si>
    <t>Cost of Animal</t>
  </si>
  <si>
    <t>($/CWT)</t>
  </si>
  <si>
    <t>($/day)</t>
  </si>
  <si>
    <t>($/Day)</t>
  </si>
  <si>
    <t xml:space="preserve">The feeds listed are general feed stuffs. This is a balanced ration for steer calves. Please enter the feeds you are using in your own ration to increase the accuracy of the budget. </t>
  </si>
  <si>
    <t>Average Daily Gain</t>
  </si>
  <si>
    <t>This spread sheet is a decision aid for cattle producers that provides a comparison of the profitability of raising calves for sale as feeder or fat cattle. The figures and calculations in this spreadsheet are general formulas only. This spreadsheet is on a per head basis. Any figure in the Input Section can be changed by typing over the default figure in the appropriate cell. Calculations using the new figure will be adjusted accordingly.</t>
  </si>
  <si>
    <t xml:space="preserve"> Interest Rate:              </t>
  </si>
  <si>
    <t xml:space="preserve"> Power &amp; Util. cost:    </t>
  </si>
  <si>
    <t xml:space="preserve"> Fixed Investment:       </t>
  </si>
  <si>
    <t xml:space="preserve"> Months on farm:        </t>
  </si>
  <si>
    <t xml:space="preserve">PER UNIT </t>
  </si>
  <si>
    <t>Feed Costs</t>
  </si>
  <si>
    <t>Pasture</t>
  </si>
  <si>
    <t>AUM</t>
  </si>
  <si>
    <t>Heather Gessner</t>
  </si>
  <si>
    <t>(Cost  of  gain  =</t>
  </si>
  <si>
    <t>/cwt</t>
  </si>
  <si>
    <t>BREAKEVEN SELLING PRICE FOR SLAUGHTER STEER</t>
  </si>
  <si>
    <t>BREAKEVEN PURCHASE PRICE FOR YEARLING STEER</t>
  </si>
  <si>
    <t>Cost of Gain ($/day)</t>
  </si>
  <si>
    <t>Cost of Purchased Steer (cwt)</t>
  </si>
  <si>
    <t xml:space="preserve">RETURN TO LABOR, MANAGEMENT, AND FACILITIES </t>
  </si>
  <si>
    <t xml:space="preserve">Pounds in </t>
  </si>
  <si>
    <t>AVERAGE DAILY GAIN:</t>
  </si>
  <si>
    <t>aum @</t>
  </si>
  <si>
    <t xml:space="preserve">  Direct Operating Costs..................</t>
  </si>
  <si>
    <t xml:space="preserve">  Labor Return ($/hr @ 5 hrs)............</t>
  </si>
  <si>
    <t xml:space="preserve">  Operating Capital Return (%).........</t>
  </si>
  <si>
    <t xml:space="preserve">  Total Gross Income.......................</t>
  </si>
  <si>
    <t>Limestone</t>
  </si>
  <si>
    <t>Corn Stover</t>
  </si>
  <si>
    <t>Pounds Fed Daily</t>
  </si>
  <si>
    <t>Total Feed For Feeding Period</t>
  </si>
  <si>
    <t>Price Per Unit</t>
  </si>
  <si>
    <t>Unit</t>
  </si>
  <si>
    <t>Cost of gain includes all expenses, NOT JUST FEED COSTS</t>
  </si>
  <si>
    <t>days on the farm</t>
  </si>
  <si>
    <t>SHIPPING</t>
  </si>
  <si>
    <t>Fuel price</t>
  </si>
  <si>
    <t>Miles to Market (round trip)</t>
  </si>
  <si>
    <t>Miles per Gallon</t>
  </si>
  <si>
    <t>Commercail Trucking ($/mile)</t>
  </si>
  <si>
    <t>(salebarn related costs)</t>
  </si>
  <si>
    <t>(Budget is for one animal only. Enter values for only one animal or representative animal of your herd.)</t>
  </si>
  <si>
    <t>To add your fuel/milage cost enter either the cost of commercial trucking OR miles per gallon on your pickup/tractor trailer. Milage is for one animal.</t>
  </si>
  <si>
    <t>Shipping</t>
  </si>
  <si>
    <t># head in trailer</t>
  </si>
  <si>
    <t>cents per #)</t>
  </si>
  <si>
    <t>Beef Cow Costs</t>
  </si>
  <si>
    <t>Pounds fed Daily</t>
  </si>
  <si>
    <t>Cow Herd Size</t>
  </si>
  <si>
    <t>Months on Winter Feed Ration</t>
  </si>
  <si>
    <t>Months on Pasture</t>
  </si>
  <si>
    <t>days on feed</t>
  </si>
  <si>
    <t>PRICE/ Unit</t>
  </si>
  <si>
    <t>Total Winter Feed Used</t>
  </si>
  <si>
    <t>days in pasture</t>
  </si>
  <si>
    <t>Breeding fees:</t>
  </si>
  <si>
    <t>Cost of Alfalfa</t>
  </si>
  <si>
    <t>TOTAL COW COSTS PER YEAR</t>
  </si>
  <si>
    <t>Modified Distillers</t>
  </si>
  <si>
    <t>SHIPPING- TO PASTURE AND HOME</t>
  </si>
  <si>
    <t>Miles to pasture (round trip)</t>
  </si>
  <si>
    <t xml:space="preserve">The feeds listed are general feed stuffs. This is a balanced ration for cows wintered Nov. 1 to Jan. 1, then Jan. 1-March 31 with a last trimester ration and then April 1-May 31 early lactation ration. June to October the cows are on grass. Please enter the feeds you are using in your own ration to increase the accuracy of the budget. </t>
  </si>
  <si>
    <t>Number of Bulls</t>
  </si>
  <si>
    <t>Bull Value</t>
  </si>
  <si>
    <t>Average bull value</t>
  </si>
  <si>
    <t>cows /</t>
  </si>
  <si>
    <t>Bulls =</t>
  </si>
  <si>
    <t>Culls =</t>
  </si>
  <si>
    <t>Indirect Costs</t>
  </si>
  <si>
    <t xml:space="preserve"> I.  OPERATING COSTS</t>
  </si>
  <si>
    <r>
      <t xml:space="preserve">II.  AVERAGE OPERATING CAPITAL REQUIREMENTS - </t>
    </r>
    <r>
      <rPr>
        <b/>
        <sz val="11"/>
        <color rgb="FFFF0000"/>
        <rFont val="Times New Roman"/>
        <family val="1"/>
      </rPr>
      <t>PER COW</t>
    </r>
  </si>
  <si>
    <t>Number Culled Annually</t>
  </si>
  <si>
    <t>DIRECT OPERATING COSTS</t>
  </si>
  <si>
    <t>~interest, electric, depreciation</t>
  </si>
  <si>
    <t>Commercial Trucking ($/mile)</t>
  </si>
  <si>
    <t>To add your fuel/mileage cost enter either the cost of commercial trucking OR miles per gallon on your pickup/tractor trailer. Mileage is for one animal.</t>
  </si>
  <si>
    <t xml:space="preserve">Cost of Pasture </t>
  </si>
  <si>
    <t>(Marketing = vet, insurance, yardage, feed, $ check off, and commission)</t>
  </si>
  <si>
    <t>INDIRECT COSTS</t>
  </si>
  <si>
    <t>Replacement Cow Value</t>
  </si>
  <si>
    <t>Value of Cull Cow</t>
  </si>
  <si>
    <t>HERD INFORMATION</t>
  </si>
  <si>
    <t>aum</t>
  </si>
  <si>
    <t>Heifer Herd Size</t>
  </si>
  <si>
    <t>Conception Rate</t>
  </si>
  <si>
    <t>Enter as a decimal</t>
  </si>
  <si>
    <t>Value of Cull Heifer</t>
  </si>
  <si>
    <t>Weaned Calf to Breeding Season</t>
  </si>
  <si>
    <t>Breeding Season to Fall Preg Check</t>
  </si>
  <si>
    <t>Total Feed Used</t>
  </si>
  <si>
    <t>Calf Weight</t>
  </si>
  <si>
    <t xml:space="preserve">Calf Prices ($/cwt) </t>
  </si>
  <si>
    <t>Weaning Percentage</t>
  </si>
  <si>
    <t xml:space="preserve">Income Per Cow - </t>
  </si>
  <si>
    <t>Calf Crop</t>
  </si>
  <si>
    <t>Replacement =</t>
  </si>
  <si>
    <t xml:space="preserve">IV. CHANGE IN FEED COSTS AS PASTURE AND/OR ALFALFA PRICES CHANGE </t>
  </si>
  <si>
    <t>Calf (cosidering a 50/50 Steer/Heifer mix)</t>
  </si>
  <si>
    <t>Cull Cow income</t>
  </si>
  <si>
    <t>Expected price $/cwt</t>
  </si>
  <si>
    <t xml:space="preserve">CALF </t>
  </si>
  <si>
    <r>
      <t>III. INCOME-</t>
    </r>
    <r>
      <rPr>
        <b/>
        <sz val="11"/>
        <color rgb="FFFF0000"/>
        <rFont val="Times New Roman"/>
        <family val="1"/>
      </rPr>
      <t>PER COW</t>
    </r>
  </si>
  <si>
    <t>Livestock Business Management Field Specialist</t>
  </si>
  <si>
    <t>Sioux Falls, SD</t>
  </si>
  <si>
    <t>High Moisture Corn</t>
  </si>
  <si>
    <t>Dry Corn</t>
  </si>
  <si>
    <t>Heifer Development Costs</t>
  </si>
  <si>
    <t>Backgrounding November thru February</t>
  </si>
  <si>
    <t>Finishing Steers</t>
  </si>
  <si>
    <t>Backgrounding Yearlings 750-1100#</t>
  </si>
  <si>
    <t>Finish Yearlings 1100-1400#</t>
  </si>
  <si>
    <t>Special thanks to SDSU Extension and Industry Specialists for their input.</t>
  </si>
  <si>
    <t xml:space="preserve">This spreadsheet is intended for educational purposes only. </t>
  </si>
  <si>
    <t xml:space="preserve"> The authors and distributors of the template assume no liability for </t>
  </si>
  <si>
    <t xml:space="preserve"> use or misuse of this template or the decisions which result.</t>
  </si>
  <si>
    <t>2015-2016 Budget Projections</t>
  </si>
  <si>
    <t>This spreadsheet may be used to estimate revenues and costs per beef cattle enterprise. In the spreadsheet, revenue is calculated by entering expected weight and price.  Line item cost estimates are listed below. These items are best estimated from your records or expected costs in your area. Fuel, oil, repairs, building and equiment costs, and management fee in the budgets are estimated using FINBIN trends for similar farms and enterprises and then are adjusted for expected changes for 2016.  "Blank lines" are left for costs that are material and unique to your operation and may be inserted as needed. The managment fee is a charge for managing the beef enterprises and is estimated using FINBIN trends.</t>
  </si>
  <si>
    <t>Heather Gessner, Livestock Business Management Field Specialist</t>
  </si>
  <si>
    <t xml:space="preserve">Use this page to enter the feedstuffs you have available on your farm/ranch and the value per unit.  A list of 'common' feedstuffs are listed to help you get started. If you need to substitue a different feed, enter it in a line that has a similar unit comparison. Example-Wheat mids will be used instead of Modified Distillers-type in Wheat mids in that line and fill in the $ per ton rate. </t>
  </si>
  <si>
    <t>AUM@</t>
  </si>
  <si>
    <t xml:space="preserve">Shipping </t>
  </si>
  <si>
    <t xml:space="preserve"> Months on grain ration:</t>
  </si>
  <si>
    <t>aum@</t>
  </si>
  <si>
    <t xml:space="preserve">Todays Date </t>
  </si>
  <si>
    <r>
      <t xml:space="preserve">Throughout the  spreadsheets cells with </t>
    </r>
    <r>
      <rPr>
        <b/>
        <sz val="12"/>
        <color rgb="FF0000FF"/>
        <rFont val="Times New Roman"/>
        <family val="1"/>
      </rPr>
      <t>BLUE BOLD</t>
    </r>
    <r>
      <rPr>
        <sz val="12"/>
        <rFont val="Times New Roman"/>
        <family val="1"/>
      </rPr>
      <t xml:space="preserve"> numbers are locations where the producer should enter their own production information. </t>
    </r>
  </si>
  <si>
    <t>If you have questions regarding this spreadsheet please contact</t>
  </si>
  <si>
    <t>605-782-3292 or heather.gessner@sdstate.edu</t>
  </si>
  <si>
    <r>
      <t xml:space="preserve">All rations used in the sample budgets are there to assist the producer by porviding an example ration. These rations are not guarenteed to provide the results indicated. </t>
    </r>
    <r>
      <rPr>
        <sz val="12"/>
        <color rgb="FFFF0000"/>
        <rFont val="Times New Roman"/>
        <family val="1"/>
      </rPr>
      <t xml:space="preserve">Produers MUST enter their own feed rations and prices into the file in order to make benefical decisions. </t>
    </r>
  </si>
  <si>
    <t>Pounds in</t>
  </si>
  <si>
    <t xml:space="preserve"> Months</t>
  </si>
  <si>
    <t>pounds per day</t>
  </si>
  <si>
    <t>Months</t>
  </si>
  <si>
    <t>CME 10/8</t>
  </si>
  <si>
    <t>basis</t>
  </si>
  <si>
    <t>price</t>
  </si>
  <si>
    <t>average</t>
  </si>
  <si>
    <t>70% of average</t>
  </si>
  <si>
    <t>Corn</t>
  </si>
  <si>
    <t>Western SD</t>
  </si>
  <si>
    <t>Alfalfa Large Round: Good 70.00; Fair 40.00-55.00. Large</t>
  </si>
  <si>
    <t>Squares: Premium 180.00-195.00; Premium/Good 140.00; Good</t>
  </si>
  <si>
    <t>90.00. Alfalfa/Grass Large Squares: Premium 125.00;</t>
  </si>
  <si>
    <t>Premium/Good 90.00; Good 75.00-87.00.</t>
  </si>
  <si>
    <t>Pipestone, MN Hay and Straw Auction One</t>
  </si>
  <si>
    <t>load Small Squares is 2-3 tons; Large Square and Large Round</t>
  </si>
  <si>
    <t>range 5-25 tons per load. Receipts: 18 Loads. Alfalfa: Fair: Large</t>
  </si>
  <si>
    <t>Rounds, 2 loads 75.00-85.00; Small Squares, 1 load 4.00 per bale.</t>
  </si>
  <si>
    <t>Grass: Grass: Premium: Large Rounds, 1 load 90.00. Good: Large</t>
  </si>
  <si>
    <t>Rounds, 4 loads 70.00-85.00. Fair: Large Rounds, 3 loads 50.00-</t>
  </si>
  <si>
    <t>65.00. Utility: Large Rounds, 1 load 40.00.</t>
  </si>
  <si>
    <t>Mixed Alfalfa/Grass: Good: Large Rounds, 5 loads 80.00-90.00.</t>
  </si>
  <si>
    <t>Utility: Large Rounds, 1 load 40.00.</t>
  </si>
  <si>
    <t>Rock Valley Hay Auction 10/01/15 One load Small</t>
  </si>
  <si>
    <t>Square approx. 5 tons; Large Square and Round 10-25 tons per</t>
  </si>
  <si>
    <t>load. Receipts: 78 loads. Alfalfa: Good: Large Squares and</t>
  </si>
  <si>
    <t>Rounds, 6 loads 125.00-150.00. Fair: Large Squares and Rounds, 9</t>
  </si>
  <si>
    <t>loads 100.00-115.00. Utility: Large Squares and Rounds, 17 loads</t>
  </si>
  <si>
    <t>80.00-97.50. Alfalfa/Grass Mix: Good: Large Rounds, 2 loads</t>
  </si>
  <si>
    <t>102.50-112.50. Fair: Large Rounds, 2 loads 85.00. Grass:</t>
  </si>
  <si>
    <t>Premium: Large Rounds, 2 loads 155.00. Good: Large Squares and</t>
  </si>
  <si>
    <t>Rounds, 13 loads 90.00-125.00; Small Squares, 1 load 135.00. Fair:</t>
  </si>
  <si>
    <t>Large Rounds, 10 loads 70.00-82.50. Straw: Large Squares and</t>
  </si>
  <si>
    <t>Rounds, 13 loads 60.00-87.5075.00-80.00. Cornstalks: Large</t>
  </si>
  <si>
    <t>ROunds, 3 loads 40.00-57.50.</t>
  </si>
  <si>
    <t>Premium</t>
  </si>
  <si>
    <t>Premium/Good</t>
  </si>
  <si>
    <t>Good</t>
  </si>
  <si>
    <t>Good/fair</t>
  </si>
  <si>
    <t xml:space="preserve">Fair </t>
  </si>
  <si>
    <t>40-55</t>
  </si>
  <si>
    <t>180-195</t>
  </si>
  <si>
    <t>Alfalfa/grass</t>
  </si>
  <si>
    <t>Rounds</t>
  </si>
  <si>
    <t>Squares</t>
  </si>
  <si>
    <t>75-87</t>
  </si>
  <si>
    <t>75-85</t>
  </si>
  <si>
    <t>rounds</t>
  </si>
  <si>
    <t>grass</t>
  </si>
  <si>
    <t>70-85</t>
  </si>
  <si>
    <t>50-65</t>
  </si>
  <si>
    <t>alfalfa/grass</t>
  </si>
  <si>
    <t>80-90</t>
  </si>
  <si>
    <t>Utility</t>
  </si>
  <si>
    <t>alfalfa</t>
  </si>
  <si>
    <t>125-150</t>
  </si>
  <si>
    <t>100-115</t>
  </si>
  <si>
    <t>80-97.50</t>
  </si>
  <si>
    <t>rounds and squares</t>
  </si>
  <si>
    <t>102.5-112.5</t>
  </si>
  <si>
    <t>90-125</t>
  </si>
  <si>
    <t>70-82.50</t>
  </si>
  <si>
    <t>straw</t>
  </si>
  <si>
    <t>60-80</t>
  </si>
  <si>
    <t xml:space="preserve">corn stalk </t>
  </si>
  <si>
    <t>s</t>
  </si>
  <si>
    <t>40-57.50</t>
  </si>
  <si>
    <t xml:space="preserve">Distillers Products - </t>
  </si>
  <si>
    <t>Wentworth</t>
  </si>
  <si>
    <t xml:space="preserve">Dry </t>
  </si>
  <si>
    <t>Modified</t>
  </si>
  <si>
    <t>Syrup</t>
  </si>
  <si>
    <t>32% solids</t>
  </si>
  <si>
    <t>Mineral &amp; Salt</t>
  </si>
  <si>
    <t xml:space="preserve"> Months on grain ration  </t>
  </si>
  <si>
    <t>Months on pasture</t>
  </si>
  <si>
    <t xml:space="preserve"> Months on feed ration</t>
  </si>
  <si>
    <t>Live Cattle</t>
  </si>
  <si>
    <t>Oct</t>
  </si>
  <si>
    <t>Dec</t>
  </si>
  <si>
    <t>Feb</t>
  </si>
  <si>
    <t>Apr</t>
  </si>
  <si>
    <t>Jun</t>
  </si>
  <si>
    <t>Aug</t>
  </si>
  <si>
    <t>Feeder Cattle</t>
  </si>
  <si>
    <t>Nov</t>
  </si>
  <si>
    <t>Jan</t>
  </si>
  <si>
    <t>Mar</t>
  </si>
  <si>
    <t>May</t>
  </si>
  <si>
    <t>Sept</t>
  </si>
  <si>
    <t>---</t>
  </si>
  <si>
    <t>Avereage weaning weight (CWT)</t>
  </si>
  <si>
    <t xml:space="preserve">Heifer Development </t>
  </si>
  <si>
    <t>Beef Cow Only</t>
  </si>
  <si>
    <t>Background Nov-Feb</t>
  </si>
  <si>
    <t xml:space="preserve">Finish Steers </t>
  </si>
  <si>
    <t>Background 750-1100</t>
  </si>
  <si>
    <t xml:space="preserve">Finish 1100-1400 </t>
  </si>
  <si>
    <t>Interest on Direct Operating Costs</t>
  </si>
  <si>
    <t>TOTAL OTHER COSTS</t>
  </si>
  <si>
    <t>Depreciation, Insurance, and Misc. on Total Direct Operating Costs</t>
  </si>
  <si>
    <t>Depreciation, Insurance, and Misc. on Direct Operating Costs</t>
  </si>
  <si>
    <t>TOTOAL OTHER COSTS</t>
  </si>
  <si>
    <t>TOTAL COW INCOME</t>
  </si>
  <si>
    <t>TOTAL HEIFER COSTS PER YEAR</t>
  </si>
  <si>
    <t>Live cattle CME Feb 2016 an April 201 126</t>
  </si>
  <si>
    <t>November 2016 143+15=158</t>
  </si>
  <si>
    <t>Huron Continental Marketing report for Dec 8-cull cows 68-75, used 70</t>
  </si>
  <si>
    <t>no 800 pound steers- 929 at 162 so used 164</t>
  </si>
  <si>
    <t>no 1100 pound steers 959 at 158 so used 155</t>
  </si>
  <si>
    <t>500 pound steers, 575 at 189 and 471 at 201 so used 190</t>
  </si>
  <si>
    <t>Dakotaland in huron distillers 125</t>
  </si>
  <si>
    <t xml:space="preserve">SDSU Extension iGrow corn price for 57350 - corn at 3.27 today </t>
  </si>
  <si>
    <t>wet corn- Corn price - $1</t>
  </si>
  <si>
    <t>Hay prices</t>
  </si>
  <si>
    <t>Weekly East River SD Hay Market report for Dec 11, 2015</t>
  </si>
  <si>
    <t>Alfalfa Good large rounds 140</t>
  </si>
  <si>
    <t>Grass fair large rounds 100</t>
  </si>
  <si>
    <t>corn stalks large rounds 55</t>
  </si>
  <si>
    <t xml:space="preserve">Feeder Cattle CME March 2016 147 </t>
  </si>
  <si>
    <r>
      <t xml:space="preserve">Throughout the  spreadsheets cells with </t>
    </r>
    <r>
      <rPr>
        <b/>
        <sz val="12"/>
        <color rgb="FF0000FF"/>
        <rFont val="Times New Roman"/>
        <family val="1"/>
      </rPr>
      <t>BLUE BOLD</t>
    </r>
    <r>
      <rPr>
        <sz val="12"/>
        <rFont val="Times New Roman"/>
        <family val="1"/>
      </rPr>
      <t xml:space="preserve"> numbers are locations where the producer should enter their own production information. Start with the RED tab, Step 1-Feed Cost Input Sheet. </t>
    </r>
  </si>
  <si>
    <t>heifers /</t>
  </si>
  <si>
    <t>heifers/</t>
  </si>
  <si>
    <t>Value of Heifer Calf</t>
  </si>
  <si>
    <t>III. INVESTMENT TO RAISE REPLACEMENT HEIFER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</si>
</sst>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7" formatCode="&quot;$&quot;#,##0.00_);\(&quot;$&quot;#,##0.00\)"/>
    <numFmt numFmtId="44" formatCode="_(&quot;$&quot;* #,##0.00_);_(&quot;$&quot;* \(#,##0.00\);_(&quot;$&quot;* &quot;-&quot;??_);_(@_)"/>
    <numFmt numFmtId="43" formatCode="_(* #,##0.00_);_(* \(#,##0.00\);_(* &quot;-&quot;??_);_(@_)"/>
    <numFmt numFmtId="164" formatCode="0.00_)"/>
    <numFmt numFmtId="165" formatCode="0_)"/>
    <numFmt numFmtId="166" formatCode="0.0_)"/>
    <numFmt numFmtId="167" formatCode="&quot;$&quot;#,##0.00"/>
    <numFmt numFmtId="168" formatCode="[$-409]mmmm\ d\,\ yyyy;@"/>
    <numFmt numFmtId="169" formatCode="_([$$-409]* #,##0.00_);_([$$-409]* \(#,##0.00\);_([$$-409]* &quot;-&quot;??_);_(@_)"/>
  </numFmts>
  <fonts count="30" x14ac:knownFonts="1">
    <font>
      <sz val="10"/>
      <name val="Courier"/>
    </font>
    <font>
      <sz val="11"/>
      <color theme="1"/>
      <name val="Calibri"/>
      <family val="2"/>
      <scheme val="minor"/>
    </font>
    <font>
      <sz val="10"/>
      <name val="Times New Roman"/>
      <family val="1"/>
    </font>
    <font>
      <sz val="8"/>
      <name val="Courier"/>
      <family val="3"/>
    </font>
    <font>
      <sz val="11"/>
      <name val="Times New Roman"/>
      <family val="1"/>
    </font>
    <font>
      <sz val="11"/>
      <name val="Courier"/>
      <family val="3"/>
    </font>
    <font>
      <sz val="11"/>
      <name val="Times New Roman"/>
      <family val="1"/>
    </font>
    <font>
      <b/>
      <sz val="11"/>
      <color indexed="12"/>
      <name val="Times New Roman"/>
      <family val="1"/>
    </font>
    <font>
      <b/>
      <sz val="11"/>
      <name val="Times New Roman"/>
      <family val="1"/>
    </font>
    <font>
      <sz val="11"/>
      <color indexed="12"/>
      <name val="Times New Roman"/>
      <family val="1"/>
    </font>
    <font>
      <sz val="9"/>
      <name val="Times New Roman"/>
      <family val="1"/>
    </font>
    <font>
      <sz val="8"/>
      <name val="Times New Roman"/>
      <family val="1"/>
    </font>
    <font>
      <sz val="16"/>
      <name val="Times New Roman"/>
      <family val="1"/>
    </font>
    <font>
      <b/>
      <sz val="11"/>
      <color rgb="FFFF0000"/>
      <name val="Times New Roman"/>
      <family val="1"/>
    </font>
    <font>
      <sz val="11"/>
      <color rgb="FFFF0000"/>
      <name val="Times New Roman"/>
      <family val="1"/>
    </font>
    <font>
      <b/>
      <sz val="11"/>
      <color rgb="FF0000FF"/>
      <name val="Times New Roman"/>
      <family val="1"/>
    </font>
    <font>
      <sz val="10"/>
      <name val="Courier"/>
      <family val="3"/>
    </font>
    <font>
      <i/>
      <sz val="11"/>
      <name val="Times New Roman"/>
      <family val="1"/>
    </font>
    <font>
      <sz val="18"/>
      <color rgb="FF0000FF"/>
      <name val="Times New Roman"/>
      <family val="1"/>
    </font>
    <font>
      <i/>
      <sz val="11"/>
      <color rgb="FF0000FF"/>
      <name val="Times New Roman"/>
      <family val="1"/>
    </font>
    <font>
      <b/>
      <sz val="18"/>
      <color rgb="FF0000FF"/>
      <name val="Times New Roman"/>
      <family val="1"/>
    </font>
    <font>
      <b/>
      <sz val="10"/>
      <name val="Courier"/>
      <family val="3"/>
    </font>
    <font>
      <sz val="10"/>
      <name val="Courier"/>
      <family val="3"/>
    </font>
    <font>
      <sz val="10"/>
      <name val="Arial"/>
      <family val="2"/>
    </font>
    <font>
      <sz val="12"/>
      <name val="Times New Roman"/>
      <family val="1"/>
    </font>
    <font>
      <sz val="12"/>
      <color rgb="FFFF0000"/>
      <name val="Times New Roman"/>
      <family val="1"/>
    </font>
    <font>
      <b/>
      <sz val="12"/>
      <name val="Times New Roman"/>
      <family val="1"/>
    </font>
    <font>
      <b/>
      <sz val="12"/>
      <color rgb="FF0000FF"/>
      <name val="Times New Roman"/>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style="thin">
        <color indexed="64"/>
      </right>
      <top/>
      <bottom style="thin">
        <color indexed="64"/>
      </bottom>
      <diagonal/>
    </border>
    <border>
      <left/>
      <right/>
      <top style="mediumDashDotDot">
        <color indexed="64"/>
      </top>
      <bottom style="mediumDashDotDot">
        <color indexed="64"/>
      </bottom>
      <diagonal/>
    </border>
    <border>
      <left style="thick">
        <color indexed="64"/>
      </left>
      <right style="thick">
        <color indexed="64"/>
      </right>
      <top style="thick">
        <color indexed="64"/>
      </top>
      <bottom style="thick">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style="thick">
        <color indexed="64"/>
      </left>
      <right style="thick">
        <color indexed="64"/>
      </right>
      <top/>
      <bottom style="thick">
        <color indexed="64"/>
      </bottom>
      <diagonal/>
    </border>
  </borders>
  <cellStyleXfs count="11">
    <xf numFmtId="164" fontId="0" fillId="0" borderId="0"/>
    <xf numFmtId="44" fontId="16" fillId="0" borderId="0" applyFont="0" applyFill="0" applyBorder="0" applyAlignment="0" applyProtection="0"/>
    <xf numFmtId="9" fontId="16" fillId="0" borderId="0" applyFont="0" applyFill="0" applyBorder="0" applyAlignment="0" applyProtection="0"/>
    <xf numFmtId="0" fontId="23" fillId="0" borderId="0"/>
    <xf numFmtId="44" fontId="23" fillId="0" borderId="0" applyFont="0" applyFill="0" applyBorder="0" applyAlignment="0" applyProtection="0"/>
    <xf numFmtId="0" fontId="23" fillId="0" borderId="0"/>
    <xf numFmtId="43" fontId="23" fillId="0" borderId="0" applyFont="0" applyFill="0" applyBorder="0" applyAlignment="0" applyProtection="0"/>
    <xf numFmtId="9" fontId="23" fillId="0" borderId="0" applyFont="0" applyFill="0" applyBorder="0" applyAlignment="0" applyProtection="0"/>
    <xf numFmtId="0" fontId="1" fillId="0" borderId="0"/>
    <xf numFmtId="44" fontId="23" fillId="0" borderId="0" applyFont="0" applyFill="0" applyBorder="0" applyAlignment="0" applyProtection="0"/>
    <xf numFmtId="0" fontId="1" fillId="0" borderId="0"/>
  </cellStyleXfs>
  <cellXfs count="307">
    <xf numFmtId="164" fontId="0" fillId="0" borderId="0" xfId="0"/>
    <xf numFmtId="164" fontId="4" fillId="0" borderId="0" xfId="0" applyFont="1"/>
    <xf numFmtId="164" fontId="4" fillId="0" borderId="0" xfId="0" applyFont="1" applyAlignment="1" applyProtection="1">
      <alignment horizontal="left"/>
    </xf>
    <xf numFmtId="164" fontId="6" fillId="0" borderId="0" xfId="0" applyFont="1" applyAlignment="1" applyProtection="1">
      <alignment horizontal="right"/>
    </xf>
    <xf numFmtId="7" fontId="4" fillId="0" borderId="0" xfId="0" applyNumberFormat="1" applyFont="1" applyProtection="1"/>
    <xf numFmtId="164" fontId="4" fillId="0" borderId="0" xfId="0" applyFont="1" applyAlignment="1" applyProtection="1">
      <alignment horizontal="center"/>
    </xf>
    <xf numFmtId="9" fontId="4" fillId="0" borderId="0" xfId="0" applyNumberFormat="1" applyFont="1" applyAlignment="1" applyProtection="1">
      <alignment horizontal="right"/>
    </xf>
    <xf numFmtId="164" fontId="4" fillId="0" borderId="0" xfId="0" quotePrefix="1" applyFont="1" applyAlignment="1">
      <alignment horizontal="right"/>
    </xf>
    <xf numFmtId="10" fontId="6" fillId="0" borderId="0" xfId="0" applyNumberFormat="1" applyFont="1" applyProtection="1"/>
    <xf numFmtId="164" fontId="6" fillId="0" borderId="0" xfId="0" applyFont="1"/>
    <xf numFmtId="164" fontId="7" fillId="0" borderId="0" xfId="0" applyNumberFormat="1" applyFont="1" applyProtection="1">
      <protection locked="0"/>
    </xf>
    <xf numFmtId="7" fontId="7" fillId="0" borderId="0" xfId="0" applyNumberFormat="1" applyFont="1" applyProtection="1">
      <protection locked="0"/>
    </xf>
    <xf numFmtId="164" fontId="8" fillId="0" borderId="0" xfId="0" applyFont="1"/>
    <xf numFmtId="166" fontId="7" fillId="0" borderId="0" xfId="0" applyNumberFormat="1" applyFont="1" applyProtection="1">
      <protection locked="0"/>
    </xf>
    <xf numFmtId="164" fontId="8" fillId="0" borderId="0" xfId="0" applyFont="1" applyAlignment="1" applyProtection="1">
      <alignment horizontal="left"/>
    </xf>
    <xf numFmtId="164" fontId="6" fillId="0" borderId="1" xfId="0" applyFont="1" applyBorder="1"/>
    <xf numFmtId="164" fontId="8" fillId="0" borderId="0" xfId="0" applyFont="1" applyAlignment="1" applyProtection="1"/>
    <xf numFmtId="7" fontId="8" fillId="0" borderId="0" xfId="0" applyNumberFormat="1" applyFont="1" applyAlignment="1" applyProtection="1">
      <alignment horizontal="left"/>
    </xf>
    <xf numFmtId="164" fontId="6" fillId="0" borderId="2" xfId="0" applyFont="1" applyBorder="1"/>
    <xf numFmtId="164" fontId="6" fillId="0" borderId="2" xfId="0" applyFont="1" applyBorder="1" applyAlignment="1">
      <alignment horizontal="right"/>
    </xf>
    <xf numFmtId="164" fontId="6" fillId="0" borderId="0" xfId="0" applyFont="1" applyAlignment="1" applyProtection="1">
      <alignment horizontal="left"/>
    </xf>
    <xf numFmtId="164" fontId="6" fillId="0" borderId="0" xfId="0" applyFont="1" applyAlignment="1" applyProtection="1">
      <alignment horizontal="center"/>
    </xf>
    <xf numFmtId="166" fontId="6" fillId="0" borderId="0" xfId="0" applyNumberFormat="1" applyFont="1" applyProtection="1"/>
    <xf numFmtId="168" fontId="6" fillId="0" borderId="0" xfId="0" applyNumberFormat="1" applyFont="1"/>
    <xf numFmtId="165" fontId="6" fillId="0" borderId="0" xfId="0" applyNumberFormat="1" applyFont="1" applyProtection="1"/>
    <xf numFmtId="7" fontId="6" fillId="0" borderId="0" xfId="0" applyNumberFormat="1" applyFont="1" applyProtection="1"/>
    <xf numFmtId="164" fontId="6" fillId="0" borderId="0" xfId="0" applyFont="1" applyAlignment="1">
      <alignment horizontal="left"/>
    </xf>
    <xf numFmtId="164" fontId="6" fillId="0" borderId="0" xfId="0" quotePrefix="1" applyFont="1" applyAlignment="1">
      <alignment horizontal="left"/>
    </xf>
    <xf numFmtId="164" fontId="8" fillId="0" borderId="3" xfId="0" applyFont="1" applyBorder="1" applyAlignment="1" applyProtection="1">
      <alignment horizontal="left"/>
    </xf>
    <xf numFmtId="164" fontId="8" fillId="0" borderId="3" xfId="0" applyFont="1" applyBorder="1"/>
    <xf numFmtId="164" fontId="8" fillId="0" borderId="0" xfId="0" applyFont="1" applyBorder="1"/>
    <xf numFmtId="164" fontId="6" fillId="0" borderId="0" xfId="0" quotePrefix="1" applyFont="1" applyAlignment="1" applyProtection="1">
      <alignment horizontal="center"/>
    </xf>
    <xf numFmtId="164" fontId="6" fillId="0" borderId="0" xfId="0" quotePrefix="1" applyFont="1"/>
    <xf numFmtId="164" fontId="6" fillId="0" borderId="3" xfId="0" applyFont="1" applyBorder="1"/>
    <xf numFmtId="164" fontId="6" fillId="0" borderId="0" xfId="0" applyFont="1" applyAlignment="1">
      <alignment horizontal="right"/>
    </xf>
    <xf numFmtId="164" fontId="6" fillId="0" borderId="0" xfId="0" applyFont="1" applyProtection="1"/>
    <xf numFmtId="164" fontId="6" fillId="0" borderId="0" xfId="0" applyNumberFormat="1" applyFont="1" applyProtection="1"/>
    <xf numFmtId="7" fontId="6" fillId="0" borderId="0" xfId="0" applyNumberFormat="1" applyFont="1" applyAlignment="1" applyProtection="1">
      <alignment horizontal="left"/>
    </xf>
    <xf numFmtId="164" fontId="6" fillId="0" borderId="0" xfId="0" applyFont="1" applyFill="1" applyAlignment="1" applyProtection="1">
      <alignment horizontal="left"/>
    </xf>
    <xf numFmtId="164" fontId="6" fillId="0" borderId="0" xfId="0" applyFont="1" applyFill="1"/>
    <xf numFmtId="164" fontId="6" fillId="0" borderId="0" xfId="0" applyFont="1" applyFill="1" applyProtection="1"/>
    <xf numFmtId="164" fontId="6" fillId="0" borderId="0" xfId="0" applyFont="1" applyFill="1" applyAlignment="1" applyProtection="1">
      <alignment horizontal="center"/>
    </xf>
    <xf numFmtId="7" fontId="6" fillId="0" borderId="0" xfId="0" applyNumberFormat="1" applyFont="1" applyFill="1" applyProtection="1"/>
    <xf numFmtId="7" fontId="6" fillId="0" borderId="0" xfId="0" applyNumberFormat="1" applyFont="1" applyFill="1" applyBorder="1" applyProtection="1"/>
    <xf numFmtId="7" fontId="6" fillId="0" borderId="4" xfId="0" applyNumberFormat="1" applyFont="1" applyBorder="1" applyProtection="1"/>
    <xf numFmtId="7" fontId="6" fillId="0" borderId="0" xfId="0" applyNumberFormat="1" applyFont="1" applyBorder="1" applyProtection="1"/>
    <xf numFmtId="7" fontId="6" fillId="0" borderId="6" xfId="0" applyNumberFormat="1" applyFont="1" applyBorder="1" applyAlignment="1" applyProtection="1">
      <alignment horizontal="left"/>
    </xf>
    <xf numFmtId="7" fontId="6" fillId="0" borderId="1" xfId="0" applyNumberFormat="1" applyFont="1" applyBorder="1" applyAlignment="1" applyProtection="1">
      <alignment horizontal="left"/>
    </xf>
    <xf numFmtId="7" fontId="6" fillId="0" borderId="0" xfId="0" applyNumberFormat="1" applyFont="1" applyAlignment="1" applyProtection="1">
      <alignment horizontal="center"/>
    </xf>
    <xf numFmtId="7" fontId="6" fillId="0" borderId="5" xfId="0" applyNumberFormat="1" applyFont="1" applyBorder="1" applyProtection="1"/>
    <xf numFmtId="164" fontId="6" fillId="0" borderId="0" xfId="0" quotePrefix="1" applyFont="1" applyAlignment="1" applyProtection="1">
      <alignment horizontal="left"/>
    </xf>
    <xf numFmtId="7" fontId="8" fillId="0" borderId="0" xfId="0" applyNumberFormat="1" applyFont="1" applyAlignment="1" applyProtection="1">
      <alignment horizontal="center"/>
    </xf>
    <xf numFmtId="164" fontId="6" fillId="0" borderId="0" xfId="0" applyFont="1" applyAlignment="1" applyProtection="1">
      <alignment horizontal="fill"/>
    </xf>
    <xf numFmtId="164" fontId="9" fillId="0" borderId="0" xfId="0" applyNumberFormat="1" applyFont="1" applyProtection="1">
      <protection locked="0"/>
    </xf>
    <xf numFmtId="7" fontId="9" fillId="0" borderId="0" xfId="0" applyNumberFormat="1" applyFont="1" applyProtection="1">
      <protection locked="0"/>
    </xf>
    <xf numFmtId="164" fontId="9" fillId="0" borderId="0" xfId="0" applyFont="1" applyAlignment="1" applyProtection="1">
      <alignment horizontal="right"/>
      <protection locked="0"/>
    </xf>
    <xf numFmtId="165" fontId="6" fillId="0" borderId="0" xfId="0" applyNumberFormat="1" applyFont="1" applyAlignment="1" applyProtection="1">
      <alignment horizontal="center"/>
    </xf>
    <xf numFmtId="164" fontId="6" fillId="0" borderId="1" xfId="0" applyFont="1" applyBorder="1" applyAlignment="1">
      <alignment horizontal="left"/>
    </xf>
    <xf numFmtId="164" fontId="6" fillId="0" borderId="0" xfId="0" applyFont="1" applyBorder="1"/>
    <xf numFmtId="167" fontId="6" fillId="0" borderId="0" xfId="0" applyNumberFormat="1" applyFont="1" applyProtection="1"/>
    <xf numFmtId="164" fontId="6" fillId="0" borderId="0" xfId="0" applyFont="1" applyProtection="1">
      <protection locked="0"/>
    </xf>
    <xf numFmtId="164" fontId="9" fillId="0" borderId="0" xfId="0" applyFont="1" applyProtection="1"/>
    <xf numFmtId="164" fontId="6" fillId="0" borderId="0" xfId="0" applyFont="1" applyBorder="1" applyProtection="1"/>
    <xf numFmtId="164" fontId="7" fillId="0" borderId="0" xfId="0" applyFont="1" applyProtection="1">
      <protection locked="0"/>
    </xf>
    <xf numFmtId="164" fontId="7" fillId="0" borderId="0" xfId="0" applyFont="1" applyAlignment="1" applyProtection="1">
      <alignment horizontal="right"/>
      <protection locked="0"/>
    </xf>
    <xf numFmtId="164" fontId="8" fillId="0" borderId="0" xfId="0" applyFont="1" applyProtection="1">
      <protection locked="0"/>
    </xf>
    <xf numFmtId="164" fontId="6" fillId="0" borderId="0" xfId="0" applyFont="1" applyAlignment="1" applyProtection="1">
      <alignment horizontal="right"/>
    </xf>
    <xf numFmtId="164" fontId="13" fillId="0" borderId="0" xfId="0" applyFont="1" applyAlignment="1">
      <alignment vertical="top"/>
    </xf>
    <xf numFmtId="164" fontId="6" fillId="0" borderId="0" xfId="0" applyFont="1" applyAlignment="1" applyProtection="1">
      <alignment horizontal="right"/>
    </xf>
    <xf numFmtId="164" fontId="14" fillId="0" borderId="0" xfId="0" applyFont="1"/>
    <xf numFmtId="164" fontId="15" fillId="0" borderId="0" xfId="0" applyFont="1" applyProtection="1">
      <protection locked="0"/>
    </xf>
    <xf numFmtId="44" fontId="6" fillId="0" borderId="0" xfId="1" applyFont="1"/>
    <xf numFmtId="164" fontId="6" fillId="0" borderId="11" xfId="0" applyFont="1" applyBorder="1" applyProtection="1">
      <protection hidden="1"/>
    </xf>
    <xf numFmtId="164" fontId="6" fillId="0" borderId="10" xfId="0" applyFont="1" applyBorder="1" applyProtection="1">
      <protection hidden="1"/>
    </xf>
    <xf numFmtId="44" fontId="15" fillId="0" borderId="0" xfId="1" applyFont="1" applyProtection="1">
      <protection locked="0"/>
    </xf>
    <xf numFmtId="165" fontId="15" fillId="0" borderId="0" xfId="0" applyNumberFormat="1" applyFont="1" applyProtection="1">
      <protection locked="0"/>
    </xf>
    <xf numFmtId="44" fontId="7" fillId="0" borderId="0" xfId="1" applyFont="1" applyProtection="1">
      <protection locked="0"/>
    </xf>
    <xf numFmtId="44" fontId="6" fillId="0" borderId="0" xfId="1" applyFont="1" applyProtection="1"/>
    <xf numFmtId="44" fontId="6" fillId="0" borderId="1" xfId="1" applyFont="1" applyBorder="1" applyProtection="1"/>
    <xf numFmtId="44" fontId="6" fillId="0" borderId="0" xfId="1" applyFont="1" applyBorder="1" applyProtection="1"/>
    <xf numFmtId="44" fontId="6" fillId="0" borderId="7" xfId="1" applyFont="1" applyBorder="1" applyProtection="1"/>
    <xf numFmtId="44" fontId="6" fillId="0" borderId="0" xfId="1" applyFont="1" applyAlignment="1" applyProtection="1">
      <alignment horizontal="center"/>
    </xf>
    <xf numFmtId="44" fontId="6" fillId="0" borderId="0" xfId="1" applyFont="1" applyAlignment="1" applyProtection="1">
      <alignment horizontal="right"/>
    </xf>
    <xf numFmtId="44" fontId="6" fillId="0" borderId="5" xfId="1" applyFont="1" applyBorder="1" applyAlignment="1" applyProtection="1">
      <alignment horizontal="left"/>
    </xf>
    <xf numFmtId="44" fontId="6" fillId="0" borderId="5" xfId="1" applyFont="1" applyBorder="1" applyProtection="1"/>
    <xf numFmtId="164" fontId="6" fillId="0" borderId="9" xfId="0" applyFont="1" applyBorder="1"/>
    <xf numFmtId="164" fontId="6" fillId="0" borderId="9" xfId="0" applyFont="1" applyBorder="1" applyAlignment="1" applyProtection="1">
      <alignment horizontal="left"/>
    </xf>
    <xf numFmtId="164" fontId="6" fillId="0" borderId="0" xfId="0" quotePrefix="1" applyFont="1" applyBorder="1" applyAlignment="1" applyProtection="1">
      <alignment horizontal="center"/>
    </xf>
    <xf numFmtId="164" fontId="6" fillId="0" borderId="0" xfId="0" applyFont="1" applyBorder="1" applyAlignment="1" applyProtection="1">
      <alignment horizontal="left"/>
    </xf>
    <xf numFmtId="164" fontId="7" fillId="0" borderId="1" xfId="0" applyFont="1" applyBorder="1" applyProtection="1">
      <protection locked="0"/>
    </xf>
    <xf numFmtId="164" fontId="6" fillId="0" borderId="1" xfId="0" applyFont="1" applyBorder="1" applyProtection="1">
      <protection locked="0"/>
    </xf>
    <xf numFmtId="164" fontId="6" fillId="0" borderId="1" xfId="0" applyFont="1" applyBorder="1" applyAlignment="1" applyProtection="1">
      <alignment horizontal="left"/>
      <protection locked="0"/>
    </xf>
    <xf numFmtId="164" fontId="15" fillId="0" borderId="1" xfId="0" applyFont="1" applyBorder="1" applyProtection="1">
      <protection locked="0"/>
    </xf>
    <xf numFmtId="44" fontId="15" fillId="0" borderId="12" xfId="1" applyFont="1" applyBorder="1" applyProtection="1">
      <protection locked="0"/>
    </xf>
    <xf numFmtId="165" fontId="15" fillId="0" borderId="12" xfId="0" applyNumberFormat="1" applyFont="1" applyBorder="1" applyProtection="1">
      <protection locked="0"/>
    </xf>
    <xf numFmtId="165" fontId="15" fillId="0" borderId="1" xfId="0" applyNumberFormat="1" applyFont="1" applyBorder="1" applyProtection="1">
      <protection locked="0"/>
    </xf>
    <xf numFmtId="164" fontId="6" fillId="0" borderId="1" xfId="0" applyFont="1" applyBorder="1" applyAlignment="1" applyProtection="1">
      <alignment horizontal="left"/>
    </xf>
    <xf numFmtId="164" fontId="6" fillId="0" borderId="1" xfId="0" quotePrefix="1" applyFont="1" applyBorder="1" applyAlignment="1" applyProtection="1">
      <alignment horizontal="center"/>
    </xf>
    <xf numFmtId="0" fontId="7" fillId="0" borderId="0" xfId="0" applyNumberFormat="1" applyFont="1" applyProtection="1">
      <protection locked="0"/>
    </xf>
    <xf numFmtId="168" fontId="6" fillId="0" borderId="0" xfId="0" applyNumberFormat="1" applyFont="1" applyAlignment="1"/>
    <xf numFmtId="169" fontId="7" fillId="0" borderId="0" xfId="0" applyNumberFormat="1" applyFont="1" applyProtection="1">
      <protection locked="0"/>
    </xf>
    <xf numFmtId="44" fontId="15" fillId="0" borderId="0" xfId="1" applyFont="1" applyBorder="1" applyProtection="1">
      <protection locked="0"/>
    </xf>
    <xf numFmtId="44" fontId="6" fillId="0" borderId="5" xfId="0" applyNumberFormat="1" applyFont="1" applyBorder="1" applyAlignment="1" applyProtection="1">
      <alignment horizontal="left"/>
    </xf>
    <xf numFmtId="44" fontId="6" fillId="0" borderId="1" xfId="0" applyNumberFormat="1" applyFont="1" applyBorder="1" applyProtection="1"/>
    <xf numFmtId="44" fontId="6" fillId="0" borderId="6" xfId="1" applyFont="1" applyBorder="1"/>
    <xf numFmtId="44" fontId="6" fillId="0" borderId="1" xfId="1" applyFont="1" applyBorder="1"/>
    <xf numFmtId="7" fontId="8" fillId="0" borderId="0" xfId="0" applyNumberFormat="1" applyFont="1" applyBorder="1" applyProtection="1"/>
    <xf numFmtId="164" fontId="8" fillId="0" borderId="0" xfId="0" applyFont="1" applyProtection="1"/>
    <xf numFmtId="164" fontId="6" fillId="3" borderId="1" xfId="0" applyFont="1" applyFill="1" applyBorder="1"/>
    <xf numFmtId="164" fontId="6" fillId="0" borderId="0" xfId="0" applyFont="1" applyAlignment="1" applyProtection="1">
      <alignment horizontal="right"/>
    </xf>
    <xf numFmtId="7" fontId="6" fillId="0" borderId="0" xfId="0" applyNumberFormat="1" applyFont="1" applyBorder="1" applyAlignment="1" applyProtection="1">
      <alignment horizontal="center" wrapText="1"/>
    </xf>
    <xf numFmtId="5" fontId="6" fillId="0" borderId="0" xfId="0" applyNumberFormat="1" applyFont="1" applyProtection="1"/>
    <xf numFmtId="169" fontId="4" fillId="0" borderId="0" xfId="0" applyNumberFormat="1" applyFont="1"/>
    <xf numFmtId="0" fontId="4" fillId="0" borderId="0" xfId="0" quotePrefix="1" applyNumberFormat="1" applyFont="1" applyAlignment="1" applyProtection="1">
      <alignment horizontal="center"/>
    </xf>
    <xf numFmtId="0" fontId="4" fillId="0" borderId="0" xfId="0" applyNumberFormat="1" applyFont="1" applyAlignment="1" applyProtection="1">
      <alignment horizontal="center"/>
    </xf>
    <xf numFmtId="165" fontId="4" fillId="0" borderId="0" xfId="0" applyNumberFormat="1" applyFont="1" applyAlignment="1">
      <alignment horizontal="center"/>
    </xf>
    <xf numFmtId="165" fontId="4" fillId="0" borderId="0" xfId="0" applyNumberFormat="1" applyFont="1" applyAlignment="1" applyProtection="1">
      <alignment horizontal="center"/>
    </xf>
    <xf numFmtId="44" fontId="8" fillId="0" borderId="0" xfId="1" applyFont="1" applyProtection="1"/>
    <xf numFmtId="0" fontId="7" fillId="0" borderId="0" xfId="2" applyNumberFormat="1" applyFont="1" applyProtection="1">
      <protection locked="0"/>
    </xf>
    <xf numFmtId="7" fontId="6" fillId="0" borderId="0" xfId="1" applyNumberFormat="1" applyFont="1" applyProtection="1"/>
    <xf numFmtId="164" fontId="0" fillId="0" borderId="1" xfId="0" applyBorder="1"/>
    <xf numFmtId="164" fontId="6" fillId="0" borderId="1" xfId="0" applyFont="1" applyBorder="1" applyProtection="1"/>
    <xf numFmtId="44" fontId="6" fillId="0" borderId="13" xfId="1" applyFont="1" applyBorder="1" applyProtection="1"/>
    <xf numFmtId="164" fontId="0" fillId="0" borderId="0" xfId="0" applyBorder="1"/>
    <xf numFmtId="0" fontId="6" fillId="0" borderId="0" xfId="0" applyNumberFormat="1" applyFont="1" applyBorder="1" applyAlignment="1">
      <alignment horizontal="center"/>
    </xf>
    <xf numFmtId="164" fontId="4" fillId="0" borderId="0" xfId="0" applyFont="1" applyBorder="1"/>
    <xf numFmtId="164" fontId="5" fillId="0" borderId="0" xfId="0" applyFont="1" applyBorder="1"/>
    <xf numFmtId="164" fontId="4" fillId="0" borderId="0" xfId="0" applyFont="1" applyBorder="1" applyAlignment="1" applyProtection="1">
      <alignment horizontal="left"/>
    </xf>
    <xf numFmtId="7" fontId="4" fillId="0" borderId="0" xfId="0" applyNumberFormat="1" applyFont="1" applyBorder="1" applyProtection="1"/>
    <xf numFmtId="164" fontId="5" fillId="0" borderId="0" xfId="0" applyFont="1" applyBorder="1" applyAlignment="1" applyProtection="1">
      <alignment horizontal="fill"/>
    </xf>
    <xf numFmtId="7" fontId="4" fillId="0" borderId="0" xfId="0" applyNumberFormat="1" applyFont="1" applyBorder="1" applyAlignment="1" applyProtection="1">
      <alignment horizontal="fill"/>
    </xf>
    <xf numFmtId="164" fontId="6" fillId="0" borderId="0" xfId="0" applyFont="1" applyBorder="1" applyAlignment="1" applyProtection="1">
      <alignment horizontal="right"/>
    </xf>
    <xf numFmtId="164" fontId="6" fillId="0" borderId="0" xfId="0" applyFont="1" applyFill="1" applyBorder="1" applyProtection="1"/>
    <xf numFmtId="164" fontId="6" fillId="0" borderId="0" xfId="0" applyFont="1" applyBorder="1" applyAlignment="1" applyProtection="1">
      <alignment horizontal="center"/>
    </xf>
    <xf numFmtId="164" fontId="6" fillId="0" borderId="0" xfId="0" quotePrefix="1" applyFont="1" applyBorder="1" applyAlignment="1" applyProtection="1">
      <alignment horizontal="right"/>
    </xf>
    <xf numFmtId="164" fontId="8" fillId="0" borderId="0" xfId="0" applyFont="1" applyBorder="1" applyAlignment="1" applyProtection="1">
      <alignment horizontal="left"/>
    </xf>
    <xf numFmtId="0" fontId="15" fillId="0" borderId="0" xfId="0" applyNumberFormat="1" applyFont="1" applyAlignment="1" applyProtection="1">
      <alignment horizontal="right"/>
      <protection locked="0"/>
    </xf>
    <xf numFmtId="44" fontId="15" fillId="0" borderId="0" xfId="1" applyFont="1" applyAlignment="1" applyProtection="1">
      <alignment horizontal="left"/>
      <protection locked="0"/>
    </xf>
    <xf numFmtId="165" fontId="15" fillId="0" borderId="0" xfId="0" applyNumberFormat="1" applyFont="1" applyAlignment="1" applyProtection="1">
      <alignment horizontal="right"/>
      <protection locked="0"/>
    </xf>
    <xf numFmtId="164" fontId="0" fillId="0" borderId="0" xfId="0" applyProtection="1">
      <protection locked="0"/>
    </xf>
    <xf numFmtId="0" fontId="15" fillId="0" borderId="0" xfId="0" applyNumberFormat="1" applyFont="1" applyProtection="1">
      <protection locked="0"/>
    </xf>
    <xf numFmtId="164" fontId="6" fillId="0" borderId="0" xfId="0" applyFont="1" applyAlignment="1" applyProtection="1">
      <alignment horizontal="right"/>
    </xf>
    <xf numFmtId="7" fontId="6" fillId="0" borderId="5" xfId="0" applyNumberFormat="1" applyFont="1" applyBorder="1" applyAlignment="1" applyProtection="1">
      <alignment horizontal="right"/>
    </xf>
    <xf numFmtId="164" fontId="6" fillId="0" borderId="0" xfId="0" applyFont="1" applyAlignment="1" applyProtection="1">
      <alignment horizontal="center"/>
    </xf>
    <xf numFmtId="164" fontId="6" fillId="0" borderId="0" xfId="0" applyFont="1" applyAlignment="1" applyProtection="1">
      <alignment horizontal="right"/>
    </xf>
    <xf numFmtId="164" fontId="17" fillId="0" borderId="0" xfId="0" applyFont="1" applyBorder="1"/>
    <xf numFmtId="164" fontId="7" fillId="0" borderId="0" xfId="0" applyFont="1" applyBorder="1" applyProtection="1">
      <protection locked="0"/>
    </xf>
    <xf numFmtId="44" fontId="7" fillId="0" borderId="0" xfId="1" applyFont="1" applyBorder="1" applyProtection="1">
      <protection locked="0"/>
    </xf>
    <xf numFmtId="164" fontId="6" fillId="0" borderId="0" xfId="0" applyFont="1" applyFill="1" applyBorder="1"/>
    <xf numFmtId="164" fontId="6" fillId="0" borderId="1" xfId="0" applyFont="1" applyBorder="1" applyAlignment="1" applyProtection="1">
      <alignment horizontal="right"/>
    </xf>
    <xf numFmtId="164" fontId="6" fillId="0" borderId="2" xfId="0" applyFont="1" applyBorder="1" applyAlignment="1" applyProtection="1">
      <alignment horizontal="left"/>
    </xf>
    <xf numFmtId="0" fontId="6" fillId="0" borderId="5" xfId="0" applyNumberFormat="1" applyFont="1" applyBorder="1" applyAlignment="1" applyProtection="1">
      <alignment horizontal="right"/>
    </xf>
    <xf numFmtId="164" fontId="21" fillId="0" borderId="0" xfId="0" applyFont="1"/>
    <xf numFmtId="9" fontId="8" fillId="0" borderId="0" xfId="2" applyFont="1" applyBorder="1"/>
    <xf numFmtId="164" fontId="21" fillId="0" borderId="0" xfId="0" applyFont="1" applyBorder="1"/>
    <xf numFmtId="164" fontId="2" fillId="0" borderId="0" xfId="0" applyFont="1" applyAlignment="1" applyProtection="1">
      <alignment horizontal="left"/>
    </xf>
    <xf numFmtId="164" fontId="22" fillId="0" borderId="0" xfId="0" applyFont="1"/>
    <xf numFmtId="165" fontId="15" fillId="0" borderId="0" xfId="0" applyNumberFormat="1" applyFont="1" applyBorder="1" applyProtection="1">
      <protection locked="0"/>
    </xf>
    <xf numFmtId="164" fontId="2" fillId="0" borderId="0" xfId="0" applyFont="1" applyBorder="1"/>
    <xf numFmtId="1" fontId="6" fillId="0" borderId="5" xfId="0" applyNumberFormat="1" applyFont="1" applyBorder="1" applyAlignment="1" applyProtection="1">
      <alignment horizontal="right"/>
    </xf>
    <xf numFmtId="166" fontId="6" fillId="0" borderId="0" xfId="0" applyNumberFormat="1" applyFont="1" applyAlignment="1" applyProtection="1">
      <alignment horizontal="center"/>
    </xf>
    <xf numFmtId="164" fontId="4" fillId="0" borderId="0" xfId="0" applyFont="1" applyAlignment="1">
      <alignment horizontal="left"/>
    </xf>
    <xf numFmtId="164" fontId="4" fillId="0" borderId="0" xfId="0" applyFont="1" applyProtection="1">
      <protection locked="0"/>
    </xf>
    <xf numFmtId="164" fontId="6" fillId="0" borderId="0" xfId="0" applyFont="1" applyAlignment="1">
      <alignment horizontal="center" wrapText="1"/>
    </xf>
    <xf numFmtId="164" fontId="6" fillId="0" borderId="0" xfId="0" applyFont="1" applyAlignment="1" applyProtection="1">
      <alignment horizontal="right"/>
    </xf>
    <xf numFmtId="164" fontId="6" fillId="0" borderId="0" xfId="0" applyFont="1" applyAlignment="1" applyProtection="1">
      <alignment horizontal="center"/>
    </xf>
    <xf numFmtId="164" fontId="6" fillId="0" borderId="0" xfId="0" quotePrefix="1" applyFont="1" applyAlignment="1" applyProtection="1">
      <alignment horizontal="center" shrinkToFit="1"/>
    </xf>
    <xf numFmtId="164" fontId="2" fillId="0" borderId="0" xfId="0" applyFont="1" applyAlignment="1">
      <alignment horizontal="center" wrapText="1"/>
    </xf>
    <xf numFmtId="7" fontId="6" fillId="0" borderId="5" xfId="0" applyNumberFormat="1" applyFont="1" applyBorder="1" applyAlignment="1" applyProtection="1">
      <alignment horizontal="right"/>
    </xf>
    <xf numFmtId="164" fontId="6" fillId="0" borderId="0" xfId="0" applyFont="1" applyAlignment="1" applyProtection="1">
      <alignment horizontal="right"/>
    </xf>
    <xf numFmtId="164" fontId="16" fillId="0" borderId="0" xfId="0" applyFont="1"/>
    <xf numFmtId="164" fontId="8" fillId="0" borderId="1" xfId="0" applyFont="1" applyBorder="1" applyProtection="1"/>
    <xf numFmtId="44" fontId="8" fillId="0" borderId="1" xfId="1" applyFont="1" applyBorder="1" applyProtection="1"/>
    <xf numFmtId="164" fontId="7" fillId="3" borderId="0" xfId="0" applyFont="1" applyFill="1" applyProtection="1">
      <protection locked="0"/>
    </xf>
    <xf numFmtId="164" fontId="4" fillId="0" borderId="0" xfId="0" applyFont="1" applyFill="1" applyAlignment="1" applyProtection="1">
      <alignment horizontal="center"/>
    </xf>
    <xf numFmtId="164" fontId="2" fillId="0" borderId="0" xfId="0" applyFont="1" applyAlignment="1">
      <alignment horizontal="center"/>
    </xf>
    <xf numFmtId="164" fontId="4" fillId="0" borderId="0" xfId="0" applyFont="1" applyBorder="1" applyAlignment="1">
      <alignment wrapText="1"/>
    </xf>
    <xf numFmtId="44" fontId="6" fillId="0" borderId="0" xfId="1" applyFont="1" applyFill="1" applyBorder="1" applyProtection="1"/>
    <xf numFmtId="44" fontId="6" fillId="0" borderId="4" xfId="1" applyFont="1" applyBorder="1" applyProtection="1"/>
    <xf numFmtId="164" fontId="24" fillId="0" borderId="0" xfId="0" applyFont="1"/>
    <xf numFmtId="164" fontId="24" fillId="0" borderId="0" xfId="0" applyFont="1" applyAlignment="1">
      <alignment horizontal="center" wrapText="1"/>
    </xf>
    <xf numFmtId="167" fontId="8" fillId="0" borderId="0" xfId="0" applyNumberFormat="1" applyFont="1" applyProtection="1"/>
    <xf numFmtId="164" fontId="15" fillId="0" borderId="0" xfId="0" applyFont="1"/>
    <xf numFmtId="166" fontId="15" fillId="0" borderId="0" xfId="0" applyNumberFormat="1" applyFont="1"/>
    <xf numFmtId="7" fontId="6" fillId="0" borderId="0" xfId="1" applyNumberFormat="1" applyFont="1" applyFill="1" applyBorder="1" applyProtection="1"/>
    <xf numFmtId="44" fontId="6" fillId="0" borderId="0" xfId="1" applyFont="1" applyFill="1" applyProtection="1"/>
    <xf numFmtId="167" fontId="7" fillId="0" borderId="0" xfId="1" applyNumberFormat="1" applyFont="1" applyProtection="1">
      <protection locked="0"/>
    </xf>
    <xf numFmtId="167" fontId="7" fillId="0" borderId="1" xfId="1" applyNumberFormat="1" applyFont="1" applyBorder="1" applyProtection="1">
      <protection locked="0"/>
    </xf>
    <xf numFmtId="44" fontId="6" fillId="0" borderId="0" xfId="1" applyFont="1" applyBorder="1"/>
    <xf numFmtId="164" fontId="4" fillId="0" borderId="0" xfId="0" applyFont="1" applyProtection="1"/>
    <xf numFmtId="0" fontId="26" fillId="0" borderId="0" xfId="5" applyFont="1"/>
    <xf numFmtId="0" fontId="24" fillId="0" borderId="0" xfId="3" applyFont="1"/>
    <xf numFmtId="0" fontId="24" fillId="0" borderId="0" xfId="5" applyFont="1"/>
    <xf numFmtId="9" fontId="15" fillId="0" borderId="0" xfId="2" applyFont="1" applyAlignment="1" applyProtection="1">
      <alignment horizontal="right"/>
      <protection locked="0"/>
    </xf>
    <xf numFmtId="164" fontId="17" fillId="0" borderId="0" xfId="0" applyFont="1" applyBorder="1" applyAlignment="1">
      <alignment wrapText="1"/>
    </xf>
    <xf numFmtId="165" fontId="8" fillId="0" borderId="0" xfId="0" applyNumberFormat="1" applyFont="1" applyAlignment="1" applyProtection="1">
      <alignment horizontal="right"/>
    </xf>
    <xf numFmtId="164" fontId="16" fillId="0" borderId="0" xfId="0" applyFont="1" applyAlignment="1">
      <alignment horizontal="right"/>
    </xf>
    <xf numFmtId="44" fontId="15" fillId="0" borderId="0" xfId="1" applyFont="1" applyFill="1"/>
    <xf numFmtId="164" fontId="0" fillId="0" borderId="0" xfId="0" applyFill="1"/>
    <xf numFmtId="164" fontId="0" fillId="0" borderId="0" xfId="0" applyFill="1" applyBorder="1"/>
    <xf numFmtId="164" fontId="16" fillId="0" borderId="0" xfId="0" quotePrefix="1" applyFont="1"/>
    <xf numFmtId="164" fontId="24" fillId="0" borderId="0" xfId="0" applyFont="1" applyAlignment="1">
      <alignment wrapText="1"/>
    </xf>
    <xf numFmtId="164" fontId="15" fillId="3" borderId="1" xfId="0" applyFont="1" applyFill="1" applyBorder="1" applyProtection="1"/>
    <xf numFmtId="164" fontId="6" fillId="4" borderId="1" xfId="0" applyFont="1" applyFill="1" applyBorder="1"/>
    <xf numFmtId="164" fontId="6" fillId="0" borderId="0" xfId="0" applyFont="1" applyAlignment="1" applyProtection="1">
      <alignment horizontal="right"/>
    </xf>
    <xf numFmtId="164" fontId="6" fillId="0" borderId="0" xfId="0" applyFont="1" applyAlignment="1" applyProtection="1">
      <alignment horizontal="center"/>
    </xf>
    <xf numFmtId="164" fontId="8" fillId="0" borderId="0" xfId="0" applyFont="1" applyAlignment="1" applyProtection="1">
      <alignment horizontal="right"/>
    </xf>
    <xf numFmtId="164" fontId="15" fillId="3" borderId="1" xfId="0" applyFont="1" applyFill="1" applyBorder="1" applyProtection="1">
      <protection locked="0"/>
    </xf>
    <xf numFmtId="164" fontId="6" fillId="0" borderId="7" xfId="0" applyFont="1" applyBorder="1" applyProtection="1"/>
    <xf numFmtId="7" fontId="6" fillId="0" borderId="7" xfId="0" applyNumberFormat="1" applyFont="1" applyBorder="1" applyProtection="1"/>
    <xf numFmtId="7" fontId="8" fillId="0" borderId="7" xfId="0" applyNumberFormat="1" applyFont="1" applyBorder="1" applyProtection="1"/>
    <xf numFmtId="164" fontId="15" fillId="0" borderId="0" xfId="0" applyFont="1" applyFill="1"/>
    <xf numFmtId="164" fontId="8" fillId="0" borderId="0" xfId="0" applyFont="1" applyFill="1" applyBorder="1"/>
    <xf numFmtId="164" fontId="4" fillId="0" borderId="0" xfId="0" applyFont="1" applyFill="1" applyBorder="1"/>
    <xf numFmtId="164" fontId="6" fillId="0" borderId="7" xfId="0" applyFont="1" applyBorder="1"/>
    <xf numFmtId="44" fontId="8" fillId="0" borderId="16" xfId="0" applyNumberFormat="1" applyFont="1" applyBorder="1" applyProtection="1"/>
    <xf numFmtId="44" fontId="8" fillId="0" borderId="4" xfId="1" applyFont="1" applyBorder="1" applyProtection="1"/>
    <xf numFmtId="7" fontId="6" fillId="0" borderId="16" xfId="0" applyNumberFormat="1" applyFont="1" applyBorder="1" applyProtection="1"/>
    <xf numFmtId="10" fontId="6" fillId="0" borderId="0" xfId="2" applyNumberFormat="1" applyFont="1" applyProtection="1"/>
    <xf numFmtId="164" fontId="4" fillId="0" borderId="0" xfId="0" quotePrefix="1" applyFont="1"/>
    <xf numFmtId="44" fontId="6" fillId="0" borderId="16" xfId="1" applyFont="1" applyBorder="1" applyProtection="1"/>
    <xf numFmtId="44" fontId="6" fillId="0" borderId="0" xfId="1" applyNumberFormat="1" applyFont="1" applyFill="1" applyBorder="1" applyProtection="1"/>
    <xf numFmtId="164" fontId="8" fillId="0" borderId="0" xfId="0" applyFont="1" applyFill="1"/>
    <xf numFmtId="164" fontId="8" fillId="0" borderId="0" xfId="0" applyFont="1" applyFill="1" applyProtection="1"/>
    <xf numFmtId="44" fontId="8" fillId="0" borderId="0" xfId="1" applyFont="1" applyFill="1" applyProtection="1"/>
    <xf numFmtId="44" fontId="6" fillId="0" borderId="0" xfId="1" applyFont="1" applyFill="1"/>
    <xf numFmtId="44" fontId="6" fillId="0" borderId="13" xfId="1" applyFont="1" applyFill="1" applyBorder="1"/>
    <xf numFmtId="44" fontId="8" fillId="0" borderId="0" xfId="1" applyFont="1" applyFill="1"/>
    <xf numFmtId="165" fontId="15" fillId="0" borderId="0" xfId="0" applyNumberFormat="1" applyFont="1" applyFill="1" applyBorder="1" applyProtection="1">
      <protection locked="0"/>
    </xf>
    <xf numFmtId="44" fontId="15" fillId="0" borderId="0" xfId="1" applyFont="1" applyFill="1" applyProtection="1">
      <protection locked="0"/>
    </xf>
    <xf numFmtId="164" fontId="7" fillId="0" borderId="0" xfId="0" applyNumberFormat="1" applyFont="1" applyFill="1" applyProtection="1">
      <protection locked="0"/>
    </xf>
    <xf numFmtId="44" fontId="7" fillId="0" borderId="0" xfId="1" applyFont="1" applyFill="1" applyProtection="1">
      <protection locked="0"/>
    </xf>
    <xf numFmtId="168" fontId="2" fillId="0" borderId="0" xfId="0" applyNumberFormat="1" applyFont="1"/>
    <xf numFmtId="168" fontId="10" fillId="0" borderId="0" xfId="0" applyNumberFormat="1" applyFont="1"/>
    <xf numFmtId="14" fontId="15" fillId="0" borderId="0" xfId="0" applyNumberFormat="1" applyFont="1" applyProtection="1">
      <protection locked="0"/>
    </xf>
    <xf numFmtId="5" fontId="4" fillId="0" borderId="0" xfId="0" applyNumberFormat="1" applyFont="1" applyProtection="1"/>
    <xf numFmtId="44" fontId="8" fillId="0" borderId="7" xfId="1" applyFont="1" applyBorder="1" applyProtection="1"/>
    <xf numFmtId="0" fontId="24" fillId="0" borderId="15" xfId="5" applyFont="1" applyBorder="1" applyAlignment="1">
      <alignment horizontal="center" wrapText="1"/>
    </xf>
    <xf numFmtId="0" fontId="24" fillId="0" borderId="9" xfId="5" applyFont="1" applyBorder="1" applyAlignment="1">
      <alignment horizontal="center" wrapText="1"/>
    </xf>
    <xf numFmtId="0" fontId="24" fillId="0" borderId="8" xfId="5" applyFont="1" applyBorder="1" applyAlignment="1">
      <alignment horizontal="center" wrapText="1"/>
    </xf>
    <xf numFmtId="0" fontId="24" fillId="0" borderId="14" xfId="5" applyFont="1" applyBorder="1" applyAlignment="1">
      <alignment horizontal="center" wrapText="1"/>
    </xf>
    <xf numFmtId="0" fontId="24" fillId="0" borderId="0" xfId="5" applyFont="1" applyBorder="1" applyAlignment="1">
      <alignment horizontal="center" wrapText="1"/>
    </xf>
    <xf numFmtId="0" fontId="24" fillId="0" borderId="5" xfId="5" applyFont="1" applyBorder="1" applyAlignment="1">
      <alignment horizontal="center" wrapText="1"/>
    </xf>
    <xf numFmtId="0" fontId="24" fillId="0" borderId="6" xfId="5" applyFont="1" applyBorder="1" applyAlignment="1">
      <alignment horizontal="center" wrapText="1"/>
    </xf>
    <xf numFmtId="0" fontId="24" fillId="0" borderId="1" xfId="5" applyFont="1" applyBorder="1" applyAlignment="1">
      <alignment horizontal="center" wrapText="1"/>
    </xf>
    <xf numFmtId="0" fontId="24" fillId="0" borderId="2" xfId="5" applyFont="1" applyBorder="1" applyAlignment="1">
      <alignment horizontal="center" wrapText="1"/>
    </xf>
    <xf numFmtId="164" fontId="24" fillId="0" borderId="0" xfId="0" applyFont="1" applyAlignment="1">
      <alignment horizontal="center" wrapText="1"/>
    </xf>
    <xf numFmtId="164" fontId="6" fillId="0" borderId="0" xfId="0" applyFont="1" applyAlignment="1">
      <alignment horizontal="center" wrapText="1"/>
    </xf>
    <xf numFmtId="164" fontId="6" fillId="0" borderId="1" xfId="0" applyFont="1" applyBorder="1" applyAlignment="1">
      <alignment horizontal="center" wrapText="1"/>
    </xf>
    <xf numFmtId="164" fontId="24" fillId="0" borderId="0" xfId="0" applyFont="1" applyAlignment="1">
      <alignment horizontal="center" vertical="center" wrapText="1"/>
    </xf>
    <xf numFmtId="164" fontId="17" fillId="0" borderId="0" xfId="0" applyFont="1" applyBorder="1" applyAlignment="1">
      <alignment horizontal="center" vertical="top" wrapText="1"/>
    </xf>
    <xf numFmtId="164" fontId="18" fillId="2" borderId="0" xfId="0" applyFont="1" applyFill="1" applyAlignment="1" applyProtection="1">
      <alignment horizontal="center"/>
    </xf>
    <xf numFmtId="164" fontId="12" fillId="2" borderId="0" xfId="0" applyFont="1" applyFill="1" applyAlignment="1" applyProtection="1">
      <alignment horizontal="center"/>
    </xf>
    <xf numFmtId="168" fontId="6" fillId="0" borderId="0" xfId="0" applyNumberFormat="1" applyFont="1" applyAlignment="1">
      <alignment horizontal="left"/>
    </xf>
    <xf numFmtId="164" fontId="19" fillId="0" borderId="0" xfId="0" applyFont="1" applyAlignment="1">
      <alignment horizontal="center"/>
    </xf>
    <xf numFmtId="164" fontId="17" fillId="0" borderId="0" xfId="0" applyFont="1" applyBorder="1" applyAlignment="1">
      <alignment horizontal="left" wrapText="1"/>
    </xf>
    <xf numFmtId="164" fontId="17" fillId="0" borderId="0" xfId="0" quotePrefix="1" applyFont="1" applyBorder="1" applyAlignment="1">
      <alignment horizontal="left" wrapText="1"/>
    </xf>
    <xf numFmtId="164" fontId="6" fillId="0" borderId="0" xfId="0" applyFont="1" applyBorder="1" applyAlignment="1">
      <alignment horizontal="center" wrapText="1"/>
    </xf>
    <xf numFmtId="7" fontId="6" fillId="0" borderId="0" xfId="0" applyNumberFormat="1" applyFont="1" applyBorder="1" applyAlignment="1" applyProtection="1">
      <alignment horizontal="right" wrapText="1"/>
    </xf>
    <xf numFmtId="7" fontId="6" fillId="0" borderId="5" xfId="0" applyNumberFormat="1" applyFont="1" applyBorder="1" applyAlignment="1" applyProtection="1">
      <alignment horizontal="right" wrapText="1"/>
    </xf>
    <xf numFmtId="7" fontId="6" fillId="0" borderId="1" xfId="0" applyNumberFormat="1" applyFont="1" applyBorder="1" applyAlignment="1" applyProtection="1">
      <alignment horizontal="right" wrapText="1"/>
    </xf>
    <xf numFmtId="7" fontId="6" fillId="0" borderId="2" xfId="0" applyNumberFormat="1" applyFont="1" applyBorder="1" applyAlignment="1" applyProtection="1">
      <alignment horizontal="right" wrapText="1"/>
    </xf>
    <xf numFmtId="164" fontId="6" fillId="0" borderId="9" xfId="0" applyFont="1" applyFill="1" applyBorder="1" applyAlignment="1">
      <alignment horizontal="center" wrapText="1"/>
    </xf>
    <xf numFmtId="164" fontId="6" fillId="0" borderId="1" xfId="0" applyFont="1" applyFill="1" applyBorder="1" applyAlignment="1">
      <alignment horizontal="center" wrapText="1"/>
    </xf>
    <xf numFmtId="164" fontId="4" fillId="0" borderId="0" xfId="0" applyFont="1" applyBorder="1" applyAlignment="1">
      <alignment horizontal="center"/>
    </xf>
    <xf numFmtId="164" fontId="17" fillId="0" borderId="0" xfId="0" applyFont="1" applyBorder="1" applyAlignment="1">
      <alignment horizontal="center" wrapText="1"/>
    </xf>
    <xf numFmtId="164" fontId="6" fillId="0" borderId="0" xfId="0" applyFont="1" applyAlignment="1" applyProtection="1">
      <alignment horizontal="center" shrinkToFit="1"/>
    </xf>
    <xf numFmtId="164" fontId="2" fillId="0" borderId="0" xfId="0" applyFont="1" applyAlignment="1">
      <alignment horizontal="center" wrapText="1"/>
    </xf>
    <xf numFmtId="164" fontId="20" fillId="2" borderId="0" xfId="0" applyFont="1" applyFill="1" applyAlignment="1" applyProtection="1">
      <alignment horizontal="center"/>
    </xf>
    <xf numFmtId="164" fontId="6" fillId="0" borderId="0" xfId="0" applyFont="1" applyAlignment="1" applyProtection="1">
      <alignment horizontal="right"/>
    </xf>
    <xf numFmtId="7" fontId="6" fillId="0" borderId="9" xfId="0" applyNumberFormat="1" applyFont="1" applyBorder="1" applyAlignment="1" applyProtection="1">
      <alignment horizontal="right"/>
    </xf>
    <xf numFmtId="7" fontId="6" fillId="0" borderId="8" xfId="0" applyNumberFormat="1" applyFont="1" applyBorder="1" applyAlignment="1" applyProtection="1">
      <alignment horizontal="right"/>
    </xf>
    <xf numFmtId="7" fontId="6" fillId="0" borderId="1" xfId="0" applyNumberFormat="1" applyFont="1" applyBorder="1" applyAlignment="1" applyProtection="1">
      <alignment horizontal="right"/>
    </xf>
    <xf numFmtId="7" fontId="6" fillId="0" borderId="2" xfId="0" applyNumberFormat="1" applyFont="1" applyBorder="1" applyAlignment="1" applyProtection="1">
      <alignment horizontal="right"/>
    </xf>
    <xf numFmtId="7" fontId="6" fillId="0" borderId="0" xfId="0" applyNumberFormat="1" applyFont="1" applyAlignment="1" applyProtection="1">
      <alignment horizontal="right"/>
    </xf>
    <xf numFmtId="7" fontId="6" fillId="0" borderId="5" xfId="0" applyNumberFormat="1" applyFont="1" applyBorder="1" applyAlignment="1" applyProtection="1">
      <alignment horizontal="right"/>
    </xf>
    <xf numFmtId="164" fontId="6" fillId="0" borderId="0" xfId="0" applyFont="1" applyAlignment="1">
      <alignment horizontal="left" wrapText="1"/>
    </xf>
    <xf numFmtId="164" fontId="6" fillId="0" borderId="0" xfId="0" applyFont="1" applyAlignment="1" applyProtection="1">
      <alignment horizontal="center"/>
    </xf>
    <xf numFmtId="164" fontId="9" fillId="0" borderId="0" xfId="0" applyFont="1" applyAlignment="1">
      <alignment horizontal="center"/>
    </xf>
    <xf numFmtId="164" fontId="6" fillId="0" borderId="0" xfId="0" applyFont="1" applyAlignment="1">
      <alignment horizontal="center"/>
    </xf>
    <xf numFmtId="164" fontId="4" fillId="0" borderId="0" xfId="0" applyFont="1" applyAlignment="1">
      <alignment horizontal="center" vertical="top" wrapText="1"/>
    </xf>
    <xf numFmtId="164" fontId="4" fillId="0" borderId="1" xfId="0" applyFont="1" applyBorder="1" applyAlignment="1">
      <alignment horizontal="center" vertical="top" wrapText="1"/>
    </xf>
    <xf numFmtId="164" fontId="4" fillId="0" borderId="0" xfId="0" applyFont="1" applyBorder="1" applyAlignment="1">
      <alignment horizontal="center" wrapText="1"/>
    </xf>
    <xf numFmtId="164" fontId="4" fillId="0" borderId="1" xfId="0" applyFont="1" applyBorder="1" applyAlignment="1">
      <alignment horizontal="center" wrapText="1"/>
    </xf>
    <xf numFmtId="164" fontId="17" fillId="0" borderId="0" xfId="0" applyFont="1" applyAlignment="1" applyProtection="1">
      <alignment horizontal="left" vertical="top" wrapText="1"/>
    </xf>
    <xf numFmtId="164" fontId="17" fillId="0" borderId="0" xfId="0" applyFont="1" applyAlignment="1">
      <alignment horizontal="left" vertical="top" wrapText="1"/>
    </xf>
    <xf numFmtId="164" fontId="18" fillId="2" borderId="0" xfId="0" applyFont="1" applyFill="1" applyAlignment="1">
      <alignment horizontal="center"/>
    </xf>
    <xf numFmtId="164" fontId="17" fillId="0" borderId="0" xfId="0" applyFont="1" applyAlignment="1">
      <alignment wrapText="1"/>
    </xf>
    <xf numFmtId="164" fontId="17" fillId="0" borderId="0" xfId="0" applyFont="1" applyAlignment="1">
      <alignment horizontal="left" wrapText="1"/>
    </xf>
    <xf numFmtId="164" fontId="6" fillId="0" borderId="9" xfId="0" applyFont="1" applyBorder="1" applyAlignment="1">
      <alignment horizontal="center" wrapText="1"/>
    </xf>
    <xf numFmtId="164" fontId="2" fillId="0" borderId="0" xfId="0" applyFont="1" applyAlignment="1" applyProtection="1">
      <alignment horizontal="center" wrapText="1"/>
    </xf>
    <xf numFmtId="164" fontId="4" fillId="0" borderId="0" xfId="0" applyFont="1" applyAlignment="1">
      <alignment horizontal="center" wrapText="1"/>
    </xf>
    <xf numFmtId="168" fontId="6" fillId="0" borderId="0" xfId="0" applyNumberFormat="1" applyFont="1" applyAlignment="1" applyProtection="1">
      <alignment horizontal="center"/>
      <protection locked="0"/>
    </xf>
    <xf numFmtId="7" fontId="11" fillId="0" borderId="0" xfId="0" applyNumberFormat="1" applyFont="1" applyBorder="1" applyAlignment="1" applyProtection="1">
      <alignment horizontal="center" wrapText="1"/>
    </xf>
    <xf numFmtId="7" fontId="11" fillId="0" borderId="5" xfId="0" applyNumberFormat="1" applyFont="1" applyBorder="1" applyAlignment="1" applyProtection="1">
      <alignment horizontal="center" wrapText="1"/>
    </xf>
    <xf numFmtId="7" fontId="11" fillId="0" borderId="1" xfId="0" applyNumberFormat="1" applyFont="1" applyBorder="1" applyAlignment="1" applyProtection="1">
      <alignment horizontal="center" wrapText="1"/>
    </xf>
    <xf numFmtId="7" fontId="11" fillId="0" borderId="2" xfId="0" applyNumberFormat="1" applyFont="1" applyBorder="1" applyAlignment="1" applyProtection="1">
      <alignment horizontal="center" wrapText="1"/>
    </xf>
    <xf numFmtId="164" fontId="8" fillId="0" borderId="0" xfId="0" applyFont="1" applyAlignment="1" applyProtection="1">
      <alignment horizontal="right"/>
    </xf>
    <xf numFmtId="164" fontId="4" fillId="0" borderId="0" xfId="0" applyFont="1" applyAlignment="1" applyProtection="1">
      <alignment horizontal="center" wrapText="1"/>
    </xf>
    <xf numFmtId="164" fontId="6" fillId="0" borderId="0" xfId="0" applyFont="1" applyAlignment="1" applyProtection="1">
      <alignment horizontal="center" wrapText="1"/>
    </xf>
    <xf numFmtId="164" fontId="4" fillId="0" borderId="0" xfId="0" applyFont="1" applyAlignment="1" applyProtection="1">
      <alignment horizontal="center" shrinkToFit="1"/>
    </xf>
    <xf numFmtId="164" fontId="6" fillId="0" borderId="0" xfId="0" quotePrefix="1" applyFont="1" applyAlignment="1" applyProtection="1">
      <alignment horizontal="center" shrinkToFit="1"/>
    </xf>
    <xf numFmtId="7" fontId="10" fillId="0" borderId="0" xfId="0" applyNumberFormat="1" applyFont="1" applyBorder="1" applyAlignment="1" applyProtection="1">
      <alignment horizontal="center" wrapText="1"/>
    </xf>
    <xf numFmtId="7" fontId="10" fillId="0" borderId="5" xfId="0" applyNumberFormat="1" applyFont="1" applyBorder="1" applyAlignment="1" applyProtection="1">
      <alignment horizontal="center" wrapText="1"/>
    </xf>
    <xf numFmtId="7" fontId="10" fillId="0" borderId="1" xfId="0" applyNumberFormat="1" applyFont="1" applyBorder="1" applyAlignment="1" applyProtection="1">
      <alignment horizontal="center" wrapText="1"/>
    </xf>
    <xf numFmtId="7" fontId="10" fillId="0" borderId="2" xfId="0" applyNumberFormat="1" applyFont="1" applyBorder="1" applyAlignment="1" applyProtection="1">
      <alignment horizontal="center" wrapText="1"/>
    </xf>
    <xf numFmtId="164" fontId="4" fillId="0" borderId="0" xfId="0" applyFont="1" applyAlignment="1" applyProtection="1">
      <alignment horizontal="center"/>
    </xf>
  </cellXfs>
  <cellStyles count="11">
    <cellStyle name="Comma 2" xfId="6"/>
    <cellStyle name="Currency" xfId="1" builtinId="4"/>
    <cellStyle name="Currency 2" xfId="9"/>
    <cellStyle name="Currency 3" xfId="4"/>
    <cellStyle name="Normal" xfId="0" builtinId="0"/>
    <cellStyle name="Normal 2" xfId="5"/>
    <cellStyle name="Normal 3" xfId="8"/>
    <cellStyle name="Normal 3 2" xfId="10"/>
    <cellStyle name="Normal 4" xfId="3"/>
    <cellStyle name="Percent" xfId="2" builtinId="5"/>
    <cellStyle name="Percent 2" xfId="7"/>
  </cellStyles>
  <dxfs count="0"/>
  <tableStyles count="0" defaultTableStyle="TableStyleMedium9" defaultPivotStyle="PivotStyleLight16"/>
  <colors>
    <mruColors>
      <color rgb="FF0000FF"/>
      <color rgb="FFFC32F2"/>
      <color rgb="FF0303BD"/>
      <color rgb="FF265A9A"/>
      <color rgb="FF377B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12</xdr:col>
      <xdr:colOff>381000</xdr:colOff>
      <xdr:row>41</xdr:row>
      <xdr:rowOff>145256</xdr:rowOff>
    </xdr:to>
    <xdr:pic>
      <xdr:nvPicPr>
        <xdr:cNvPr id="3" name="Picture 2" descr="https://insidestate.sdstate.edu/extension/Pictures/Gessner_Heathe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8524875" cy="63936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85725</xdr:rowOff>
    </xdr:from>
    <xdr:to>
      <xdr:col>1</xdr:col>
      <xdr:colOff>667616</xdr:colOff>
      <xdr:row>3</xdr:row>
      <xdr:rowOff>52627</xdr:rowOff>
    </xdr:to>
    <xdr:pic>
      <xdr:nvPicPr>
        <xdr:cNvPr id="4" name="Picture 3"/>
        <xdr:cNvPicPr>
          <a:picLocks noChangeAspect="1"/>
        </xdr:cNvPicPr>
      </xdr:nvPicPr>
      <xdr:blipFill>
        <a:blip xmlns:r="http://schemas.openxmlformats.org/officeDocument/2006/relationships" r:embed="rId1"/>
        <a:stretch>
          <a:fillRect/>
        </a:stretch>
      </xdr:blipFill>
      <xdr:spPr>
        <a:xfrm>
          <a:off x="152400" y="85725"/>
          <a:ext cx="1201016" cy="566977"/>
        </a:xfrm>
        <a:prstGeom prst="rect">
          <a:avLst/>
        </a:prstGeom>
      </xdr:spPr>
    </xdr:pic>
    <xdr:clientData/>
  </xdr:twoCellAnchor>
  <xdr:twoCellAnchor editAs="oneCell">
    <xdr:from>
      <xdr:col>3</xdr:col>
      <xdr:colOff>0</xdr:colOff>
      <xdr:row>1</xdr:row>
      <xdr:rowOff>0</xdr:rowOff>
    </xdr:from>
    <xdr:to>
      <xdr:col>5</xdr:col>
      <xdr:colOff>378104</xdr:colOff>
      <xdr:row>4</xdr:row>
      <xdr:rowOff>58350</xdr:rowOff>
    </xdr:to>
    <xdr:pic>
      <xdr:nvPicPr>
        <xdr:cNvPr id="6" name="Picture 5"/>
        <xdr:cNvPicPr>
          <a:picLocks noChangeAspect="1"/>
        </xdr:cNvPicPr>
      </xdr:nvPicPr>
      <xdr:blipFill>
        <a:blip xmlns:r="http://schemas.openxmlformats.org/officeDocument/2006/relationships" r:embed="rId2"/>
        <a:stretch>
          <a:fillRect/>
        </a:stretch>
      </xdr:blipFill>
      <xdr:spPr>
        <a:xfrm>
          <a:off x="2057400" y="152400"/>
          <a:ext cx="1749704" cy="658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N29" sqref="N29"/>
    </sheetView>
  </sheetViews>
  <sheetFormatPr defaultRowHeight="12" x14ac:dyDescent="0.15"/>
  <sheetData/>
  <sheetProtection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P152"/>
  <sheetViews>
    <sheetView workbookViewId="0">
      <selection activeCell="H87" sqref="H87"/>
    </sheetView>
  </sheetViews>
  <sheetFormatPr defaultColWidth="17.25" defaultRowHeight="15" x14ac:dyDescent="0.25"/>
  <cols>
    <col min="1" max="1" width="4.75" style="9" customWidth="1"/>
    <col min="2" max="2" width="8.5" style="9" customWidth="1"/>
    <col min="3" max="3" width="5.875" style="9" customWidth="1"/>
    <col min="4" max="4" width="9.75" style="9" customWidth="1"/>
    <col min="5" max="5" width="10.75" style="9" customWidth="1"/>
    <col min="6" max="6" width="8.75" style="9" customWidth="1"/>
    <col min="7" max="8" width="8.625" style="9" customWidth="1"/>
    <col min="9" max="9" width="17.25" style="9"/>
    <col min="10" max="11" width="10.75" style="9" customWidth="1"/>
    <col min="12" max="12" width="10.875" style="9" customWidth="1"/>
    <col min="13" max="16" width="10.75" style="9" customWidth="1"/>
    <col min="17" max="16384" width="17.25" style="9"/>
  </cols>
  <sheetData>
    <row r="1" spans="1:16" ht="23.25" x14ac:dyDescent="0.35">
      <c r="A1" s="251" t="s">
        <v>218</v>
      </c>
      <c r="B1" s="268"/>
      <c r="C1" s="268"/>
      <c r="D1" s="268"/>
      <c r="E1" s="268"/>
      <c r="F1" s="268"/>
      <c r="G1" s="268"/>
      <c r="H1" s="268"/>
      <c r="I1" s="268"/>
    </row>
    <row r="2" spans="1:16" x14ac:dyDescent="0.25">
      <c r="A2" s="306"/>
      <c r="B2" s="277"/>
      <c r="C2" s="277"/>
      <c r="D2" s="277"/>
      <c r="E2" s="277"/>
      <c r="F2" s="277"/>
      <c r="G2" s="277"/>
      <c r="H2" s="277"/>
      <c r="I2" s="23">
        <f>+'Step 1 - Feed Cost Input Sheet '!F20</f>
        <v>42417</v>
      </c>
    </row>
    <row r="3" spans="1:16" x14ac:dyDescent="0.25">
      <c r="C3" s="141" t="s">
        <v>41</v>
      </c>
      <c r="D3" s="24">
        <f>(D21-D26)*100</f>
        <v>300</v>
      </c>
      <c r="E3" s="2" t="s">
        <v>236</v>
      </c>
      <c r="F3" s="22">
        <f>I26</f>
        <v>3</v>
      </c>
      <c r="G3" s="1" t="s">
        <v>239</v>
      </c>
      <c r="H3" s="9">
        <f>D3/(I26*365/12)</f>
        <v>3.2876712328767121</v>
      </c>
      <c r="I3" s="1" t="s">
        <v>238</v>
      </c>
    </row>
    <row r="4" spans="1:16" x14ac:dyDescent="0.25">
      <c r="I4" s="2"/>
    </row>
    <row r="5" spans="1:16" ht="15" customHeight="1" x14ac:dyDescent="0.25">
      <c r="A5" s="247" t="s">
        <v>111</v>
      </c>
      <c r="B5" s="247"/>
      <c r="C5" s="247"/>
      <c r="D5" s="247"/>
      <c r="E5" s="247"/>
      <c r="F5" s="247"/>
      <c r="G5" s="247"/>
      <c r="H5" s="247"/>
      <c r="I5" s="247"/>
    </row>
    <row r="6" spans="1:16" x14ac:dyDescent="0.25">
      <c r="A6" s="247"/>
      <c r="B6" s="247"/>
      <c r="C6" s="247"/>
      <c r="D6" s="247"/>
      <c r="E6" s="247"/>
      <c r="F6" s="247"/>
      <c r="G6" s="247"/>
      <c r="H6" s="247"/>
      <c r="I6" s="247"/>
    </row>
    <row r="7" spans="1:16" ht="12" customHeight="1" x14ac:dyDescent="0.25">
      <c r="A7" s="247"/>
      <c r="B7" s="247"/>
      <c r="C7" s="247"/>
      <c r="D7" s="247"/>
      <c r="E7" s="247"/>
      <c r="F7" s="247"/>
      <c r="G7" s="247"/>
      <c r="H7" s="247"/>
      <c r="I7" s="247"/>
    </row>
    <row r="8" spans="1:16" ht="15" customHeight="1" x14ac:dyDescent="0.25">
      <c r="A8" s="247"/>
      <c r="B8" s="247"/>
      <c r="C8" s="247"/>
      <c r="D8" s="247"/>
      <c r="E8" s="247"/>
      <c r="F8" s="247"/>
      <c r="G8" s="247"/>
      <c r="H8" s="247"/>
      <c r="I8" s="247"/>
    </row>
    <row r="9" spans="1:16" ht="16.5" customHeight="1" x14ac:dyDescent="0.25">
      <c r="A9" s="247"/>
      <c r="B9" s="247"/>
      <c r="C9" s="247"/>
      <c r="D9" s="247"/>
      <c r="E9" s="247"/>
      <c r="F9" s="247"/>
      <c r="G9" s="247"/>
      <c r="H9" s="247"/>
      <c r="I9" s="247"/>
    </row>
    <row r="10" spans="1:16" x14ac:dyDescent="0.25">
      <c r="A10" s="278" t="s">
        <v>0</v>
      </c>
      <c r="B10" s="278"/>
      <c r="C10" s="278"/>
      <c r="D10" s="278"/>
      <c r="E10" s="278"/>
      <c r="F10" s="278"/>
      <c r="G10" s="278"/>
      <c r="H10" s="278"/>
      <c r="I10" s="278"/>
    </row>
    <row r="11" spans="1:16" x14ac:dyDescent="0.25">
      <c r="A11" s="279" t="s">
        <v>1</v>
      </c>
      <c r="B11" s="279"/>
      <c r="C11" s="279"/>
      <c r="D11" s="279"/>
      <c r="E11" s="279"/>
      <c r="F11" s="279"/>
      <c r="G11" s="279"/>
      <c r="H11" s="279"/>
      <c r="I11" s="279"/>
      <c r="J11" s="20"/>
      <c r="P11" s="25"/>
    </row>
    <row r="12" spans="1:16" ht="7.5" customHeight="1" x14ac:dyDescent="0.25">
      <c r="J12" s="20"/>
    </row>
    <row r="13" spans="1:16" x14ac:dyDescent="0.25">
      <c r="A13" s="9" t="s">
        <v>2</v>
      </c>
      <c r="J13" s="20"/>
    </row>
    <row r="14" spans="1:16" x14ac:dyDescent="0.25">
      <c r="A14" s="26" t="s">
        <v>120</v>
      </c>
      <c r="C14" s="161" t="s">
        <v>210</v>
      </c>
      <c r="H14" s="1" t="s">
        <v>211</v>
      </c>
      <c r="J14" s="20"/>
    </row>
    <row r="15" spans="1:16" x14ac:dyDescent="0.25">
      <c r="A15" s="27"/>
      <c r="D15" s="27"/>
      <c r="G15" s="27"/>
      <c r="J15" s="20"/>
    </row>
    <row r="16" spans="1:16" x14ac:dyDescent="0.25">
      <c r="A16" s="20"/>
      <c r="D16" s="27"/>
      <c r="J16" s="20"/>
    </row>
    <row r="17" spans="1:11" x14ac:dyDescent="0.25">
      <c r="A17" s="26"/>
      <c r="C17" s="27"/>
    </row>
    <row r="18" spans="1:11" ht="15.75" thickBot="1" x14ac:dyDescent="0.3">
      <c r="D18" s="20" t="s">
        <v>42</v>
      </c>
    </row>
    <row r="19" spans="1:11" s="30" customFormat="1" thickBot="1" x14ac:dyDescent="0.25">
      <c r="A19" s="28" t="s">
        <v>3</v>
      </c>
      <c r="B19" s="29"/>
      <c r="C19" s="29"/>
      <c r="D19" s="28" t="s">
        <v>4</v>
      </c>
      <c r="E19" s="29"/>
      <c r="F19" s="28" t="s">
        <v>3</v>
      </c>
      <c r="G19" s="29"/>
      <c r="H19" s="29"/>
      <c r="I19" s="28" t="s">
        <v>5</v>
      </c>
    </row>
    <row r="20" spans="1:11" x14ac:dyDescent="0.25">
      <c r="A20" s="14" t="s">
        <v>6</v>
      </c>
      <c r="E20" s="31" t="s">
        <v>7</v>
      </c>
      <c r="F20" s="14" t="s">
        <v>12</v>
      </c>
    </row>
    <row r="21" spans="1:11" x14ac:dyDescent="0.25">
      <c r="A21" s="20" t="s">
        <v>90</v>
      </c>
      <c r="D21" s="10">
        <v>14</v>
      </c>
      <c r="E21" s="31" t="s">
        <v>7</v>
      </c>
      <c r="F21" s="20" t="s">
        <v>98</v>
      </c>
      <c r="I21" s="10">
        <v>6</v>
      </c>
      <c r="J21" s="20" t="s">
        <v>8</v>
      </c>
    </row>
    <row r="22" spans="1:11" x14ac:dyDescent="0.25">
      <c r="A22" s="20" t="s">
        <v>91</v>
      </c>
      <c r="D22" s="11">
        <v>115</v>
      </c>
      <c r="E22" s="31" t="s">
        <v>7</v>
      </c>
      <c r="F22" s="20" t="s">
        <v>99</v>
      </c>
      <c r="I22" s="11">
        <v>6</v>
      </c>
      <c r="J22" s="20" t="s">
        <v>9</v>
      </c>
    </row>
    <row r="23" spans="1:11" x14ac:dyDescent="0.25">
      <c r="A23" s="20" t="s">
        <v>92</v>
      </c>
      <c r="D23" s="10">
        <v>1</v>
      </c>
      <c r="E23" s="31" t="s">
        <v>7</v>
      </c>
      <c r="F23" s="20" t="s">
        <v>100</v>
      </c>
      <c r="I23" s="11">
        <v>100</v>
      </c>
      <c r="J23" s="20" t="s">
        <v>10</v>
      </c>
    </row>
    <row r="24" spans="1:11" x14ac:dyDescent="0.25">
      <c r="D24" s="65"/>
      <c r="E24" s="31" t="s">
        <v>7</v>
      </c>
      <c r="I24" s="65"/>
      <c r="J24" s="20" t="s">
        <v>11</v>
      </c>
    </row>
    <row r="25" spans="1:11" x14ac:dyDescent="0.25">
      <c r="A25" s="14" t="s">
        <v>43</v>
      </c>
      <c r="D25" s="65"/>
      <c r="E25" s="31" t="s">
        <v>7</v>
      </c>
      <c r="F25" s="14" t="s">
        <v>46</v>
      </c>
      <c r="I25" s="65"/>
    </row>
    <row r="26" spans="1:11" x14ac:dyDescent="0.25">
      <c r="A26" s="20" t="s">
        <v>93</v>
      </c>
      <c r="D26" s="10">
        <v>11</v>
      </c>
      <c r="E26" s="31" t="s">
        <v>7</v>
      </c>
      <c r="F26" s="2" t="s">
        <v>313</v>
      </c>
      <c r="I26" s="13">
        <v>3</v>
      </c>
      <c r="J26" s="9">
        <f>+I26*30</f>
        <v>90</v>
      </c>
      <c r="K26" s="1" t="s">
        <v>142</v>
      </c>
    </row>
    <row r="27" spans="1:11" x14ac:dyDescent="0.25">
      <c r="A27" s="20" t="s">
        <v>94</v>
      </c>
      <c r="D27" s="11">
        <v>155</v>
      </c>
      <c r="E27" s="31" t="s">
        <v>7</v>
      </c>
      <c r="F27" s="1" t="s">
        <v>312</v>
      </c>
      <c r="I27" s="183">
        <v>0</v>
      </c>
    </row>
    <row r="28" spans="1:11" x14ac:dyDescent="0.25">
      <c r="D28" s="65"/>
      <c r="E28" s="31" t="s">
        <v>7</v>
      </c>
    </row>
    <row r="29" spans="1:11" x14ac:dyDescent="0.25">
      <c r="A29" s="14" t="s">
        <v>44</v>
      </c>
      <c r="D29" s="65"/>
      <c r="E29" s="31" t="s">
        <v>7</v>
      </c>
    </row>
    <row r="30" spans="1:11" x14ac:dyDescent="0.25">
      <c r="A30" s="20" t="s">
        <v>95</v>
      </c>
      <c r="D30" s="11">
        <v>20</v>
      </c>
      <c r="E30" s="31" t="s">
        <v>7</v>
      </c>
    </row>
    <row r="31" spans="1:11" x14ac:dyDescent="0.25">
      <c r="A31" s="20" t="s">
        <v>96</v>
      </c>
      <c r="D31" s="11">
        <v>5</v>
      </c>
      <c r="E31" s="31" t="s">
        <v>7</v>
      </c>
    </row>
    <row r="32" spans="1:11" x14ac:dyDescent="0.25">
      <c r="A32" s="20" t="s">
        <v>97</v>
      </c>
      <c r="D32" s="11">
        <f>15.75</f>
        <v>15.75</v>
      </c>
      <c r="E32" s="31" t="s">
        <v>7</v>
      </c>
      <c r="J32" s="32" t="s">
        <v>38</v>
      </c>
    </row>
    <row r="33" spans="1:13" x14ac:dyDescent="0.25">
      <c r="A33" s="9" t="s">
        <v>45</v>
      </c>
      <c r="D33" s="11">
        <v>0</v>
      </c>
      <c r="E33" s="31" t="s">
        <v>7</v>
      </c>
      <c r="J33" s="9" t="s">
        <v>39</v>
      </c>
    </row>
    <row r="34" spans="1:13" x14ac:dyDescent="0.25">
      <c r="A34" s="9" t="s">
        <v>80</v>
      </c>
      <c r="D34" s="11">
        <v>0</v>
      </c>
      <c r="F34" s="289" t="s">
        <v>137</v>
      </c>
      <c r="G34" s="289" t="s">
        <v>138</v>
      </c>
      <c r="H34" s="85"/>
      <c r="I34" s="58"/>
    </row>
    <row r="35" spans="1:13" x14ac:dyDescent="0.25">
      <c r="A35" s="12" t="s">
        <v>82</v>
      </c>
      <c r="D35" s="31"/>
      <c r="E35" s="20"/>
      <c r="F35" s="257"/>
      <c r="G35" s="257"/>
      <c r="H35" s="257" t="s">
        <v>139</v>
      </c>
      <c r="I35" s="58"/>
    </row>
    <row r="36" spans="1:13" x14ac:dyDescent="0.25">
      <c r="C36" s="15" t="s">
        <v>83</v>
      </c>
      <c r="D36" s="15"/>
      <c r="E36" s="15"/>
      <c r="F36" s="248"/>
      <c r="G36" s="248"/>
      <c r="H36" s="248"/>
      <c r="I36" s="15" t="s">
        <v>140</v>
      </c>
    </row>
    <row r="37" spans="1:13" x14ac:dyDescent="0.25">
      <c r="C37" s="107" t="str">
        <f>+'Step 1 - Feed Cost Input Sheet '!A21</f>
        <v>Limestone</v>
      </c>
      <c r="D37" s="60"/>
      <c r="E37" s="60"/>
      <c r="F37" s="70">
        <v>1.33</v>
      </c>
      <c r="G37" s="189">
        <f>+(F37/100)*$J$26</f>
        <v>1.1970000000000001</v>
      </c>
      <c r="H37" s="181">
        <f>+'Step 1 - Feed Cost Input Sheet '!B21</f>
        <v>10</v>
      </c>
      <c r="I37" s="189" t="s">
        <v>84</v>
      </c>
      <c r="J37" s="276" t="s">
        <v>109</v>
      </c>
      <c r="K37" s="276"/>
      <c r="L37" s="276"/>
      <c r="M37" s="276"/>
    </row>
    <row r="38" spans="1:13" x14ac:dyDescent="0.25">
      <c r="C38" s="107" t="str">
        <f>+'Step 1 - Feed Cost Input Sheet '!A22</f>
        <v>Mineral &amp; Salt</v>
      </c>
      <c r="D38" s="60"/>
      <c r="E38" s="60"/>
      <c r="F38" s="70">
        <v>0</v>
      </c>
      <c r="G38" s="189">
        <f>+(F38/100)*$J$26</f>
        <v>0</v>
      </c>
      <c r="H38" s="181">
        <f>+'Step 1 - Feed Cost Input Sheet '!B22</f>
        <v>22</v>
      </c>
      <c r="I38" s="189" t="s">
        <v>84</v>
      </c>
      <c r="J38" s="276"/>
      <c r="K38" s="276"/>
      <c r="L38" s="276"/>
      <c r="M38" s="276"/>
    </row>
    <row r="39" spans="1:13" x14ac:dyDescent="0.25">
      <c r="C39" s="107" t="str">
        <f>+'Step 1 - Feed Cost Input Sheet '!A23</f>
        <v>Dry Corn</v>
      </c>
      <c r="D39" s="60"/>
      <c r="E39" s="60"/>
      <c r="F39" s="70">
        <v>6.77</v>
      </c>
      <c r="G39" s="189">
        <f>+(F39/56)*$J$26</f>
        <v>10.880357142857143</v>
      </c>
      <c r="H39" s="181">
        <f>+'Step 1 - Feed Cost Input Sheet '!B23</f>
        <v>3.27</v>
      </c>
      <c r="I39" s="189" t="s">
        <v>85</v>
      </c>
      <c r="J39" s="276"/>
      <c r="K39" s="276"/>
      <c r="L39" s="276"/>
      <c r="M39" s="276"/>
    </row>
    <row r="40" spans="1:13" x14ac:dyDescent="0.25">
      <c r="C40" s="107" t="str">
        <f>+'Step 1 - Feed Cost Input Sheet '!A24</f>
        <v>High Moisture Corn</v>
      </c>
      <c r="D40" s="60"/>
      <c r="E40" s="60"/>
      <c r="F40" s="70">
        <v>3.48</v>
      </c>
      <c r="G40" s="189">
        <f>+(F40/56)*$J$26</f>
        <v>5.5928571428571434</v>
      </c>
      <c r="H40" s="181">
        <f>+'Step 1 - Feed Cost Input Sheet '!B24</f>
        <v>2.27</v>
      </c>
      <c r="I40" s="189" t="s">
        <v>85</v>
      </c>
      <c r="J40" s="276"/>
      <c r="K40" s="276"/>
      <c r="L40" s="276"/>
      <c r="M40" s="276"/>
    </row>
    <row r="41" spans="1:13" x14ac:dyDescent="0.25">
      <c r="C41" s="107" t="str">
        <f>+'Step 1 - Feed Cost Input Sheet '!A25</f>
        <v>Hay</v>
      </c>
      <c r="D41" s="60"/>
      <c r="E41" s="60"/>
      <c r="F41" s="70">
        <v>0.56999999999999995</v>
      </c>
      <c r="G41" s="189">
        <f>+(F41/2000)*$J$26</f>
        <v>2.5649999999999999E-2</v>
      </c>
      <c r="H41" s="181">
        <f>+'Step 1 - Feed Cost Input Sheet '!B25</f>
        <v>90</v>
      </c>
      <c r="I41" s="189" t="s">
        <v>86</v>
      </c>
    </row>
    <row r="42" spans="1:13" x14ac:dyDescent="0.25">
      <c r="C42" s="107" t="str">
        <f>+'Step 1 - Feed Cost Input Sheet '!A26</f>
        <v>Alfalfa</v>
      </c>
      <c r="D42" s="60"/>
      <c r="E42" s="60"/>
      <c r="F42" s="70">
        <v>0</v>
      </c>
      <c r="G42" s="189">
        <f t="shared" ref="G42:G45" si="0">+(F42/2000)*$J$26</f>
        <v>0</v>
      </c>
      <c r="H42" s="181">
        <f>+'Step 1 - Feed Cost Input Sheet '!B26</f>
        <v>100</v>
      </c>
      <c r="I42" s="189" t="s">
        <v>86</v>
      </c>
    </row>
    <row r="43" spans="1:13" x14ac:dyDescent="0.25">
      <c r="C43" s="107" t="str">
        <f>+'Step 1 - Feed Cost Input Sheet '!A27</f>
        <v>Silage</v>
      </c>
      <c r="D43" s="60"/>
      <c r="E43" s="60"/>
      <c r="F43" s="70">
        <v>1.83</v>
      </c>
      <c r="G43" s="189">
        <f t="shared" si="0"/>
        <v>8.2350000000000007E-2</v>
      </c>
      <c r="H43" s="181">
        <f>+'Step 1 - Feed Cost Input Sheet '!B27</f>
        <v>32</v>
      </c>
      <c r="I43" s="189" t="s">
        <v>86</v>
      </c>
    </row>
    <row r="44" spans="1:13" x14ac:dyDescent="0.25">
      <c r="C44" s="107" t="str">
        <f>+'Step 1 - Feed Cost Input Sheet '!A28</f>
        <v>Corn Stover</v>
      </c>
      <c r="D44" s="60"/>
      <c r="E44" s="60"/>
      <c r="F44" s="70">
        <v>2.0499999999999998</v>
      </c>
      <c r="G44" s="189">
        <f t="shared" si="0"/>
        <v>9.2249999999999985E-2</v>
      </c>
      <c r="H44" s="181">
        <f>+'Step 1 - Feed Cost Input Sheet '!B28</f>
        <v>55</v>
      </c>
      <c r="I44" s="189" t="s">
        <v>86</v>
      </c>
    </row>
    <row r="45" spans="1:13" x14ac:dyDescent="0.25">
      <c r="C45" s="107" t="str">
        <f>+'Step 1 - Feed Cost Input Sheet '!A29</f>
        <v>Modified Distillers</v>
      </c>
      <c r="D45" s="60"/>
      <c r="E45" s="60"/>
      <c r="F45" s="70">
        <v>1.73</v>
      </c>
      <c r="G45" s="189">
        <f t="shared" si="0"/>
        <v>7.7850000000000003E-2</v>
      </c>
      <c r="H45" s="181">
        <f>+'Step 1 - Feed Cost Input Sheet '!B29</f>
        <v>125</v>
      </c>
      <c r="I45" s="189" t="s">
        <v>86</v>
      </c>
    </row>
    <row r="46" spans="1:13" x14ac:dyDescent="0.25">
      <c r="C46" s="107" t="str">
        <f>+'Step 1 - Feed Cost Input Sheet '!A30</f>
        <v>Pasture</v>
      </c>
      <c r="D46" s="60"/>
      <c r="E46" s="60"/>
      <c r="F46" s="92">
        <v>0</v>
      </c>
      <c r="G46" s="189">
        <f>I27</f>
        <v>0</v>
      </c>
      <c r="H46" s="181">
        <f>+'Step 1 - Feed Cost Input Sheet '!B30</f>
        <v>45</v>
      </c>
      <c r="I46" s="189" t="s">
        <v>190</v>
      </c>
    </row>
    <row r="47" spans="1:13" x14ac:dyDescent="0.25">
      <c r="A47" s="1" t="s">
        <v>334</v>
      </c>
      <c r="D47" s="20" t="s">
        <v>13</v>
      </c>
    </row>
    <row r="48" spans="1:13" x14ac:dyDescent="0.25">
      <c r="A48" s="14" t="s">
        <v>14</v>
      </c>
    </row>
    <row r="49" spans="1:9" x14ac:dyDescent="0.25">
      <c r="B49" s="20" t="s">
        <v>47</v>
      </c>
      <c r="E49" s="35">
        <f>D21</f>
        <v>14</v>
      </c>
      <c r="F49" s="143" t="s">
        <v>48</v>
      </c>
      <c r="G49" s="25">
        <f>D22</f>
        <v>115</v>
      </c>
      <c r="I49" s="77">
        <f>E49*G49</f>
        <v>1610</v>
      </c>
    </row>
    <row r="50" spans="1:9" ht="15.75" thickBot="1" x14ac:dyDescent="0.3">
      <c r="B50" s="20" t="s">
        <v>49</v>
      </c>
      <c r="D50" s="141" t="s">
        <v>32</v>
      </c>
      <c r="E50" s="36">
        <f>D23</f>
        <v>1</v>
      </c>
      <c r="F50" s="20" t="s">
        <v>50</v>
      </c>
      <c r="G50" s="25">
        <f>I49</f>
        <v>1610</v>
      </c>
      <c r="H50" s="37" t="s">
        <v>30</v>
      </c>
      <c r="I50" s="79">
        <f>-E50*G50/100</f>
        <v>-16.100000000000001</v>
      </c>
    </row>
    <row r="51" spans="1:9" ht="15.75" thickBot="1" x14ac:dyDescent="0.3">
      <c r="D51" s="20" t="s">
        <v>15</v>
      </c>
      <c r="I51" s="80">
        <f>SUM(I49:I50)</f>
        <v>1593.9</v>
      </c>
    </row>
    <row r="52" spans="1:9" x14ac:dyDescent="0.25">
      <c r="I52" s="71"/>
    </row>
    <row r="53" spans="1:9" x14ac:dyDescent="0.25">
      <c r="A53" s="14" t="s">
        <v>16</v>
      </c>
      <c r="I53" s="71"/>
    </row>
    <row r="54" spans="1:9" x14ac:dyDescent="0.25">
      <c r="I54" s="71"/>
    </row>
    <row r="55" spans="1:9" x14ac:dyDescent="0.25">
      <c r="B55" s="20" t="s">
        <v>51</v>
      </c>
      <c r="E55" s="35">
        <f>D26</f>
        <v>11</v>
      </c>
      <c r="F55" s="143" t="s">
        <v>52</v>
      </c>
      <c r="G55" s="25">
        <f>+D27</f>
        <v>155</v>
      </c>
      <c r="I55" s="79">
        <f>E55*G55</f>
        <v>1705</v>
      </c>
    </row>
    <row r="56" spans="1:9" x14ac:dyDescent="0.25">
      <c r="B56" s="38" t="s">
        <v>81</v>
      </c>
      <c r="C56" s="39"/>
      <c r="D56" s="39"/>
      <c r="E56" s="39"/>
      <c r="F56" s="39"/>
      <c r="G56" s="39"/>
      <c r="H56" s="39"/>
      <c r="I56" s="184">
        <f>SUM(H57:H66)</f>
        <v>79.993253571428582</v>
      </c>
    </row>
    <row r="57" spans="1:9" x14ac:dyDescent="0.25">
      <c r="B57" s="38" t="str">
        <f t="shared" ref="B57:B66" si="1">+C37</f>
        <v>Limestone</v>
      </c>
      <c r="C57" s="39"/>
      <c r="D57" s="38" t="s">
        <v>17</v>
      </c>
      <c r="E57" s="40">
        <f>+G37</f>
        <v>1.1970000000000001</v>
      </c>
      <c r="F57" s="41" t="s">
        <v>18</v>
      </c>
      <c r="G57" s="42">
        <f t="shared" ref="G57:G66" si="2">+H37</f>
        <v>10</v>
      </c>
      <c r="H57" s="42">
        <f t="shared" ref="H57:H65" si="3">E57*G57</f>
        <v>11.97</v>
      </c>
      <c r="I57" s="71"/>
    </row>
    <row r="58" spans="1:9" x14ac:dyDescent="0.25">
      <c r="B58" s="38" t="str">
        <f t="shared" si="1"/>
        <v>Mineral &amp; Salt</v>
      </c>
      <c r="C58" s="39"/>
      <c r="D58" s="39"/>
      <c r="E58" s="40">
        <f t="shared" ref="E58:E66" si="4">+G38</f>
        <v>0</v>
      </c>
      <c r="F58" s="41" t="s">
        <v>18</v>
      </c>
      <c r="G58" s="42">
        <f t="shared" si="2"/>
        <v>22</v>
      </c>
      <c r="H58" s="42">
        <f t="shared" si="3"/>
        <v>0</v>
      </c>
      <c r="I58" s="71"/>
    </row>
    <row r="59" spans="1:9" x14ac:dyDescent="0.25">
      <c r="B59" s="38" t="str">
        <f t="shared" si="1"/>
        <v>Dry Corn</v>
      </c>
      <c r="C59" s="39"/>
      <c r="D59" s="39"/>
      <c r="E59" s="40">
        <f t="shared" si="4"/>
        <v>10.880357142857143</v>
      </c>
      <c r="F59" s="41" t="s">
        <v>54</v>
      </c>
      <c r="G59" s="42">
        <f t="shared" si="2"/>
        <v>3.27</v>
      </c>
      <c r="H59" s="42">
        <f t="shared" si="3"/>
        <v>35.578767857142857</v>
      </c>
      <c r="I59" s="71"/>
    </row>
    <row r="60" spans="1:9" x14ac:dyDescent="0.25">
      <c r="B60" s="38" t="str">
        <f t="shared" si="1"/>
        <v>High Moisture Corn</v>
      </c>
      <c r="C60" s="39"/>
      <c r="D60" s="39"/>
      <c r="E60" s="40">
        <f t="shared" si="4"/>
        <v>5.5928571428571434</v>
      </c>
      <c r="F60" s="41" t="s">
        <v>54</v>
      </c>
      <c r="G60" s="42">
        <f t="shared" si="2"/>
        <v>2.27</v>
      </c>
      <c r="H60" s="42">
        <f t="shared" si="3"/>
        <v>12.695785714285716</v>
      </c>
      <c r="I60" s="71"/>
    </row>
    <row r="61" spans="1:9" x14ac:dyDescent="0.25">
      <c r="B61" s="38" t="str">
        <f t="shared" si="1"/>
        <v>Hay</v>
      </c>
      <c r="C61" s="39"/>
      <c r="D61" s="39"/>
      <c r="E61" s="40">
        <f t="shared" si="4"/>
        <v>2.5649999999999999E-2</v>
      </c>
      <c r="F61" s="41" t="s">
        <v>55</v>
      </c>
      <c r="G61" s="42">
        <f t="shared" si="2"/>
        <v>90</v>
      </c>
      <c r="H61" s="42">
        <f t="shared" si="3"/>
        <v>2.3085</v>
      </c>
      <c r="I61" s="71"/>
    </row>
    <row r="62" spans="1:9" x14ac:dyDescent="0.25">
      <c r="B62" s="38" t="str">
        <f t="shared" si="1"/>
        <v>Alfalfa</v>
      </c>
      <c r="C62" s="39"/>
      <c r="D62" s="39"/>
      <c r="E62" s="40">
        <f t="shared" si="4"/>
        <v>0</v>
      </c>
      <c r="F62" s="41" t="s">
        <v>55</v>
      </c>
      <c r="G62" s="42">
        <f t="shared" si="2"/>
        <v>100</v>
      </c>
      <c r="H62" s="42">
        <f t="shared" si="3"/>
        <v>0</v>
      </c>
      <c r="I62" s="71"/>
    </row>
    <row r="63" spans="1:9" x14ac:dyDescent="0.25">
      <c r="B63" s="38" t="str">
        <f t="shared" si="1"/>
        <v>Silage</v>
      </c>
      <c r="C63" s="39"/>
      <c r="D63" s="39"/>
      <c r="E63" s="40">
        <f t="shared" si="4"/>
        <v>8.2350000000000007E-2</v>
      </c>
      <c r="F63" s="41" t="s">
        <v>55</v>
      </c>
      <c r="G63" s="42">
        <f t="shared" si="2"/>
        <v>32</v>
      </c>
      <c r="H63" s="42">
        <f t="shared" si="3"/>
        <v>2.6352000000000002</v>
      </c>
      <c r="I63" s="71"/>
    </row>
    <row r="64" spans="1:9" x14ac:dyDescent="0.25">
      <c r="B64" s="38" t="str">
        <f t="shared" si="1"/>
        <v>Corn Stover</v>
      </c>
      <c r="C64" s="39"/>
      <c r="D64" s="39"/>
      <c r="E64" s="40">
        <f t="shared" si="4"/>
        <v>9.2249999999999985E-2</v>
      </c>
      <c r="F64" s="41" t="s">
        <v>55</v>
      </c>
      <c r="G64" s="42">
        <f t="shared" si="2"/>
        <v>55</v>
      </c>
      <c r="H64" s="42">
        <f t="shared" si="3"/>
        <v>5.0737499999999995</v>
      </c>
      <c r="I64" s="71"/>
    </row>
    <row r="65" spans="1:9" x14ac:dyDescent="0.25">
      <c r="B65" s="38" t="str">
        <f t="shared" si="1"/>
        <v>Modified Distillers</v>
      </c>
      <c r="C65" s="39"/>
      <c r="D65" s="39"/>
      <c r="E65" s="40">
        <f t="shared" si="4"/>
        <v>7.7850000000000003E-2</v>
      </c>
      <c r="F65" s="41" t="s">
        <v>55</v>
      </c>
      <c r="G65" s="42">
        <f t="shared" si="2"/>
        <v>125</v>
      </c>
      <c r="H65" s="43">
        <f t="shared" si="3"/>
        <v>9.7312500000000011</v>
      </c>
      <c r="I65" s="71"/>
    </row>
    <row r="66" spans="1:9" x14ac:dyDescent="0.25">
      <c r="B66" s="38" t="str">
        <f t="shared" si="1"/>
        <v>Pasture</v>
      </c>
      <c r="C66" s="39"/>
      <c r="D66" s="39"/>
      <c r="E66" s="40">
        <f t="shared" si="4"/>
        <v>0</v>
      </c>
      <c r="F66" s="174" t="s">
        <v>230</v>
      </c>
      <c r="G66" s="42">
        <f t="shared" si="2"/>
        <v>45</v>
      </c>
      <c r="H66" s="43">
        <f>(E66*G66)*I26</f>
        <v>0</v>
      </c>
      <c r="I66" s="71"/>
    </row>
    <row r="67" spans="1:9" x14ac:dyDescent="0.25">
      <c r="B67" s="20" t="s">
        <v>19</v>
      </c>
      <c r="I67" s="77">
        <f>D30</f>
        <v>20</v>
      </c>
    </row>
    <row r="68" spans="1:9" x14ac:dyDescent="0.25">
      <c r="B68" s="20" t="s">
        <v>20</v>
      </c>
      <c r="I68" s="77">
        <f>D31</f>
        <v>5</v>
      </c>
    </row>
    <row r="69" spans="1:9" x14ac:dyDescent="0.25">
      <c r="B69" s="20" t="s">
        <v>21</v>
      </c>
      <c r="I69" s="77">
        <f>D32</f>
        <v>15.75</v>
      </c>
    </row>
    <row r="70" spans="1:9" x14ac:dyDescent="0.25">
      <c r="B70" s="20" t="s">
        <v>53</v>
      </c>
      <c r="I70" s="77">
        <f>+D33</f>
        <v>0</v>
      </c>
    </row>
    <row r="71" spans="1:9" ht="15.75" thickBot="1" x14ac:dyDescent="0.3">
      <c r="B71" s="20" t="s">
        <v>40</v>
      </c>
      <c r="I71" s="79">
        <f>+D34</f>
        <v>0</v>
      </c>
    </row>
    <row r="72" spans="1:9" ht="15.75" thickBot="1" x14ac:dyDescent="0.3">
      <c r="A72" s="1"/>
      <c r="B72" s="20" t="s">
        <v>17</v>
      </c>
      <c r="D72" s="20" t="s">
        <v>22</v>
      </c>
      <c r="I72" s="80">
        <f>I55+I56+I67+I68+I69+I70+I71</f>
        <v>1825.7432535714286</v>
      </c>
    </row>
    <row r="73" spans="1:9" ht="15.75" thickBot="1" x14ac:dyDescent="0.3">
      <c r="I73" s="71"/>
    </row>
    <row r="74" spans="1:9" ht="16.5" thickTop="1" thickBot="1" x14ac:dyDescent="0.3">
      <c r="A74" s="14" t="s">
        <v>23</v>
      </c>
      <c r="I74" s="216">
        <f>I51-I72</f>
        <v>-231.84325357142848</v>
      </c>
    </row>
    <row r="75" spans="1:9" ht="15.75" thickTop="1" x14ac:dyDescent="0.25"/>
    <row r="76" spans="1:9" x14ac:dyDescent="0.25">
      <c r="A76" s="14" t="s">
        <v>24</v>
      </c>
    </row>
    <row r="77" spans="1:9" x14ac:dyDescent="0.25">
      <c r="B77" s="20" t="s">
        <v>25</v>
      </c>
      <c r="G77" s="8">
        <f>I21/100</f>
        <v>0.06</v>
      </c>
    </row>
    <row r="78" spans="1:9" x14ac:dyDescent="0.25">
      <c r="B78" s="20" t="s">
        <v>26</v>
      </c>
      <c r="I78" s="25">
        <f>((I72*I21)*($I$26/12))/100</f>
        <v>27.386148803571427</v>
      </c>
    </row>
    <row r="79" spans="1:9" x14ac:dyDescent="0.25">
      <c r="B79" s="20" t="s">
        <v>27</v>
      </c>
      <c r="I79" s="25">
        <f>I22</f>
        <v>6</v>
      </c>
    </row>
    <row r="80" spans="1:9" ht="15.75" thickBot="1" x14ac:dyDescent="0.3">
      <c r="B80" s="20" t="s">
        <v>37</v>
      </c>
      <c r="I80" s="45">
        <f>(I72+I23)*0.025</f>
        <v>48.143581339285717</v>
      </c>
    </row>
    <row r="81" spans="1:10" ht="15.75" thickBot="1" x14ac:dyDescent="0.3">
      <c r="D81" s="1" t="s">
        <v>336</v>
      </c>
      <c r="I81" s="214">
        <f>+SUM(I78:I80)</f>
        <v>81.529730142857147</v>
      </c>
    </row>
    <row r="82" spans="1:10" ht="15.75" thickBot="1" x14ac:dyDescent="0.3">
      <c r="D82" s="20" t="s">
        <v>28</v>
      </c>
      <c r="I82" s="215">
        <f>I74-SUM(I77:I80)</f>
        <v>-313.37298371428562</v>
      </c>
    </row>
    <row r="83" spans="1:10" ht="15.75" thickTop="1" x14ac:dyDescent="0.25"/>
    <row r="84" spans="1:10" x14ac:dyDescent="0.25">
      <c r="B84" s="269" t="s">
        <v>56</v>
      </c>
      <c r="C84" s="269"/>
      <c r="D84" s="269"/>
      <c r="E84" s="269"/>
      <c r="F84" s="269"/>
      <c r="G84" s="269"/>
      <c r="H84" s="25">
        <f>(I72+SUM(I78:I80)+I50)/E49</f>
        <v>135.08378455102041</v>
      </c>
      <c r="I84" s="219" t="s">
        <v>122</v>
      </c>
    </row>
    <row r="85" spans="1:10" x14ac:dyDescent="0.25">
      <c r="C85" s="269" t="s">
        <v>57</v>
      </c>
      <c r="D85" s="269"/>
      <c r="E85" s="269"/>
      <c r="F85" s="25">
        <f>D27</f>
        <v>155</v>
      </c>
      <c r="G85" s="20" t="s">
        <v>58</v>
      </c>
    </row>
    <row r="86" spans="1:10" x14ac:dyDescent="0.25">
      <c r="E86" s="269" t="s">
        <v>59</v>
      </c>
      <c r="F86" s="269"/>
      <c r="G86" s="143">
        <f>(SUM(I56:I71)+SUM(I78:I80))/(E49-E55)</f>
        <v>67.42432790476191</v>
      </c>
      <c r="H86" s="20" t="s">
        <v>60</v>
      </c>
    </row>
    <row r="87" spans="1:10" x14ac:dyDescent="0.25">
      <c r="B87" s="269" t="s">
        <v>61</v>
      </c>
      <c r="C87" s="269"/>
      <c r="D87" s="269"/>
      <c r="E87" s="269"/>
      <c r="F87" s="269"/>
      <c r="G87" s="269"/>
      <c r="H87" s="25">
        <f>(I51-(SUM(I56:I71)-SUM(I77:I80)))/E55</f>
        <v>141.33513423376624</v>
      </c>
      <c r="I87" s="219" t="s">
        <v>122</v>
      </c>
    </row>
    <row r="88" spans="1:10" x14ac:dyDescent="0.25">
      <c r="C88" s="269" t="s">
        <v>62</v>
      </c>
      <c r="D88" s="269"/>
      <c r="E88" s="269"/>
      <c r="F88" s="48">
        <f>D22</f>
        <v>115</v>
      </c>
      <c r="G88" s="20" t="s">
        <v>58</v>
      </c>
    </row>
    <row r="89" spans="1:10" x14ac:dyDescent="0.25">
      <c r="A89" s="16" t="s">
        <v>102</v>
      </c>
      <c r="E89" s="24">
        <f>(D21-D26)*100</f>
        <v>300</v>
      </c>
      <c r="F89" s="14" t="s">
        <v>64</v>
      </c>
      <c r="I89" s="35">
        <f>E89/(I26*365/12)</f>
        <v>3.2876712328767121</v>
      </c>
      <c r="J89" s="20"/>
    </row>
    <row r="90" spans="1:10" x14ac:dyDescent="0.25">
      <c r="A90" s="14" t="s">
        <v>65</v>
      </c>
    </row>
    <row r="91" spans="1:10" x14ac:dyDescent="0.25">
      <c r="A91" s="20" t="s">
        <v>68</v>
      </c>
      <c r="E91" s="77">
        <f>I51</f>
        <v>1593.9</v>
      </c>
    </row>
    <row r="92" spans="1:10" x14ac:dyDescent="0.25">
      <c r="A92" s="20" t="s">
        <v>66</v>
      </c>
      <c r="E92" s="77">
        <f>I72</f>
        <v>1825.7432535714286</v>
      </c>
    </row>
    <row r="93" spans="1:10" x14ac:dyDescent="0.25">
      <c r="A93" s="20" t="s">
        <v>67</v>
      </c>
      <c r="E93" s="77">
        <f>I74/3</f>
        <v>-77.281084523809497</v>
      </c>
    </row>
    <row r="94" spans="1:10" x14ac:dyDescent="0.25">
      <c r="A94" s="20" t="s">
        <v>69</v>
      </c>
      <c r="E94" s="218">
        <f>I74/(I72)</f>
        <v>-0.12698568274477157</v>
      </c>
    </row>
    <row r="96" spans="1:10" x14ac:dyDescent="0.25">
      <c r="B96" s="14" t="s">
        <v>70</v>
      </c>
    </row>
    <row r="97" spans="1:9" x14ac:dyDescent="0.25">
      <c r="B97" s="141"/>
    </row>
    <row r="98" spans="1:9" x14ac:dyDescent="0.25">
      <c r="B98" s="274" t="s">
        <v>105</v>
      </c>
      <c r="C98" s="275"/>
      <c r="F98" s="20" t="s">
        <v>35</v>
      </c>
    </row>
    <row r="99" spans="1:9" x14ac:dyDescent="0.25">
      <c r="A99" s="15"/>
      <c r="B99" s="272" t="s">
        <v>106</v>
      </c>
      <c r="C99" s="273"/>
      <c r="D99" s="46">
        <f>G49-8</f>
        <v>107</v>
      </c>
      <c r="E99" s="47">
        <f>G49-4</f>
        <v>111</v>
      </c>
      <c r="F99" s="47">
        <f>G49</f>
        <v>115</v>
      </c>
      <c r="G99" s="47">
        <f>G49+4</f>
        <v>119</v>
      </c>
      <c r="H99" s="47">
        <f>G49+8</f>
        <v>123</v>
      </c>
      <c r="I99" s="47">
        <f>H99+4</f>
        <v>127</v>
      </c>
    </row>
    <row r="100" spans="1:9" x14ac:dyDescent="0.25">
      <c r="B100" s="270">
        <f>G55-10</f>
        <v>145</v>
      </c>
      <c r="C100" s="271"/>
      <c r="D100" s="37">
        <f t="shared" ref="D100:I100" si="5">(($E$49*D99)-($E$50/100*$E$49*D99))-(($E$55*$B$100)+SUM($I$56:$I$71)+SUM($I$78:$I$80))</f>
        <v>-314.25298371428562</v>
      </c>
      <c r="E100" s="37">
        <f t="shared" si="5"/>
        <v>-258.81298371428556</v>
      </c>
      <c r="F100" s="37">
        <f t="shared" si="5"/>
        <v>-203.37298371428551</v>
      </c>
      <c r="G100" s="37">
        <f t="shared" si="5"/>
        <v>-147.93298371428568</v>
      </c>
      <c r="H100" s="37">
        <f t="shared" si="5"/>
        <v>-92.492983714285629</v>
      </c>
      <c r="I100" s="37">
        <f t="shared" si="5"/>
        <v>-37.052983714285574</v>
      </c>
    </row>
    <row r="101" spans="1:9" x14ac:dyDescent="0.25">
      <c r="B101" s="274">
        <f>G55-5</f>
        <v>150</v>
      </c>
      <c r="C101" s="275"/>
      <c r="D101" s="37">
        <f t="shared" ref="D101:I101" si="6">(($E$49*D99)-($E$50/100*$E$49*D99))-(($E$55*$B$101)+SUM($I$56:$I$71)+SUM($I$78:$I$80))</f>
        <v>-369.25298371428562</v>
      </c>
      <c r="E101" s="37">
        <f t="shared" si="6"/>
        <v>-313.81298371428556</v>
      </c>
      <c r="F101" s="37">
        <f t="shared" si="6"/>
        <v>-258.37298371428551</v>
      </c>
      <c r="G101" s="37">
        <f t="shared" si="6"/>
        <v>-202.93298371428568</v>
      </c>
      <c r="H101" s="37">
        <f t="shared" si="6"/>
        <v>-147.49298371428563</v>
      </c>
      <c r="I101" s="37">
        <f t="shared" si="6"/>
        <v>-92.052983714285574</v>
      </c>
    </row>
    <row r="102" spans="1:9" x14ac:dyDescent="0.25">
      <c r="B102" s="274">
        <f>G55</f>
        <v>155</v>
      </c>
      <c r="C102" s="275"/>
      <c r="D102" s="37">
        <f t="shared" ref="D102:I102" si="7">(($E$49*D99)-($E$50/100*$E$49*D99))-(($E$55*$B$102)+SUM($I$56:$I$71)+SUM($I$78:$I$80))</f>
        <v>-424.25298371428562</v>
      </c>
      <c r="E102" s="37">
        <f t="shared" si="7"/>
        <v>-368.81298371428556</v>
      </c>
      <c r="F102" s="37">
        <f t="shared" si="7"/>
        <v>-313.37298371428551</v>
      </c>
      <c r="G102" s="37">
        <f t="shared" si="7"/>
        <v>-257.93298371428568</v>
      </c>
      <c r="H102" s="37">
        <f t="shared" si="7"/>
        <v>-202.49298371428563</v>
      </c>
      <c r="I102" s="37">
        <f t="shared" si="7"/>
        <v>-147.05298371428557</v>
      </c>
    </row>
    <row r="103" spans="1:9" x14ac:dyDescent="0.25">
      <c r="B103" s="274">
        <f>G55+5</f>
        <v>160</v>
      </c>
      <c r="C103" s="275"/>
      <c r="D103" s="37">
        <f t="shared" ref="D103:I103" si="8">(($E$49*D99)-($E$50/100*$E$49*D99))-(($E$55*$B$103)+SUM($I$56:$I$71)+SUM($I$78:$I$80))</f>
        <v>-479.25298371428562</v>
      </c>
      <c r="E103" s="37">
        <f t="shared" si="8"/>
        <v>-423.81298371428556</v>
      </c>
      <c r="F103" s="37">
        <f t="shared" si="8"/>
        <v>-368.37298371428551</v>
      </c>
      <c r="G103" s="37">
        <f t="shared" si="8"/>
        <v>-312.93298371428568</v>
      </c>
      <c r="H103" s="37">
        <f t="shared" si="8"/>
        <v>-257.49298371428563</v>
      </c>
      <c r="I103" s="37">
        <f t="shared" si="8"/>
        <v>-202.05298371428557</v>
      </c>
    </row>
    <row r="104" spans="1:9" x14ac:dyDescent="0.25">
      <c r="B104" s="274">
        <f>G55+10</f>
        <v>165</v>
      </c>
      <c r="C104" s="275"/>
      <c r="D104" s="37">
        <f t="shared" ref="D104:I104" si="9">(($E$49*D99)-($E$50/100*$E$49*D99))-(($E$55*$B$104)+SUM($I$56:$I$71)+SUM($I$78:$I$80))</f>
        <v>-534.25298371428562</v>
      </c>
      <c r="E104" s="37">
        <f t="shared" si="9"/>
        <v>-478.81298371428556</v>
      </c>
      <c r="F104" s="37">
        <f t="shared" si="9"/>
        <v>-423.37298371428551</v>
      </c>
      <c r="G104" s="37">
        <f t="shared" si="9"/>
        <v>-367.93298371428568</v>
      </c>
      <c r="H104" s="37">
        <f t="shared" si="9"/>
        <v>-312.49298371428563</v>
      </c>
      <c r="I104" s="37">
        <f t="shared" si="9"/>
        <v>-257.05298371428557</v>
      </c>
    </row>
    <row r="105" spans="1:9" x14ac:dyDescent="0.25">
      <c r="I105" s="26"/>
    </row>
    <row r="106" spans="1:9" x14ac:dyDescent="0.25">
      <c r="I106" s="26"/>
    </row>
    <row r="107" spans="1:9" x14ac:dyDescent="0.25">
      <c r="B107" s="17" t="s">
        <v>70</v>
      </c>
      <c r="C107" s="25"/>
      <c r="D107" s="25"/>
      <c r="E107" s="25"/>
      <c r="F107" s="25"/>
      <c r="G107" s="25"/>
      <c r="I107" s="26"/>
    </row>
    <row r="108" spans="1:9" x14ac:dyDescent="0.25">
      <c r="B108" s="37" t="s">
        <v>71</v>
      </c>
      <c r="E108" s="51">
        <f>G55</f>
        <v>155</v>
      </c>
      <c r="F108" s="37" t="s">
        <v>72</v>
      </c>
      <c r="H108" s="25"/>
      <c r="I108" s="37"/>
    </row>
    <row r="109" spans="1:9" x14ac:dyDescent="0.25">
      <c r="B109" s="48"/>
      <c r="C109" s="142" t="s">
        <v>104</v>
      </c>
      <c r="D109" s="25"/>
      <c r="E109" s="25"/>
      <c r="F109" s="25"/>
      <c r="G109" s="25"/>
      <c r="H109" s="25"/>
      <c r="I109" s="37"/>
    </row>
    <row r="110" spans="1:9" x14ac:dyDescent="0.25">
      <c r="A110" s="15"/>
      <c r="B110" s="15"/>
      <c r="C110" s="18" t="s">
        <v>107</v>
      </c>
      <c r="D110" s="47">
        <f>G49-8</f>
        <v>107</v>
      </c>
      <c r="E110" s="47">
        <f>G49-4</f>
        <v>111</v>
      </c>
      <c r="F110" s="47">
        <f>G49</f>
        <v>115</v>
      </c>
      <c r="G110" s="47">
        <f>G49+4</f>
        <v>119</v>
      </c>
      <c r="H110" s="47">
        <f>G49+8</f>
        <v>123</v>
      </c>
      <c r="I110" s="47">
        <f>G49+12</f>
        <v>127</v>
      </c>
    </row>
    <row r="111" spans="1:9" x14ac:dyDescent="0.25">
      <c r="C111" s="49">
        <f>G86/100-0.1</f>
        <v>0.57424327904761907</v>
      </c>
      <c r="D111" s="37">
        <f>((E49*(G49-8))-(E50/100*E49*(G49-8)))-(I55+((G86-10)*(E49-E55)))</f>
        <v>-394.25298371428562</v>
      </c>
      <c r="E111" s="37">
        <f>((E49*(G49-4))-(E50/100*E49*(G49-4)))-(I55+((G86-10)*(E49-E55)))</f>
        <v>-338.81298371428556</v>
      </c>
      <c r="F111" s="37">
        <f>((E49*(G49))-(E50/100*E49*(G49)))-(I55+((G86-10)*(E49-E55)))</f>
        <v>-283.37298371428551</v>
      </c>
      <c r="G111" s="37">
        <f>((E49*(G49+4))-(E50/100*E49*(G49+4)))-(I55+((G86-10)*(E49-E55)))</f>
        <v>-227.93298371428568</v>
      </c>
      <c r="H111" s="37">
        <f>((E49*(G49+8))-(E50/100*E49*(G49+8)))-(I55+((G86-10)*(E49-E55)))</f>
        <v>-172.49298371428563</v>
      </c>
      <c r="I111" s="37">
        <f>((E49*(G49+12))-(E50/100*E49*(G49+12)))-(I55+((G86-10)*(E49-E55)))</f>
        <v>-117.05298371428557</v>
      </c>
    </row>
    <row r="112" spans="1:9" x14ac:dyDescent="0.25">
      <c r="C112" s="49">
        <f>G86/100-0.05</f>
        <v>0.624243279047619</v>
      </c>
      <c r="D112" s="37">
        <f>((E49*(G49-8))-(E50/100*E49*(G49-8)))-(I55+((G86-5)*(E49-E55)))</f>
        <v>-409.25298371428562</v>
      </c>
      <c r="E112" s="37">
        <f>((E49*(G49-4))-(E50/100*E49*(G49-4)))-(I55+((G86-5)*(E49-E55)))</f>
        <v>-353.81298371428556</v>
      </c>
      <c r="F112" s="37">
        <f>((E49*(G49))-(E50/100*E49*(G49)))-(I55+((G86-5)*(E49-E55)))</f>
        <v>-298.37298371428551</v>
      </c>
      <c r="G112" s="37">
        <f>((E49*(G49+4))-(E50/100*E49*(G49+4)))-(I55+((G86-5)*(E49-E55)))</f>
        <v>-242.93298371428568</v>
      </c>
      <c r="H112" s="37">
        <f>((E49*(G49+8))-(E50/100*E49*(G49+8)))-(I55+((G86-5)*(E49-E55)))</f>
        <v>-187.49298371428563</v>
      </c>
      <c r="I112" s="37">
        <f>((E49*(G49+12))-(E50/100*E49*(G49+12)))-(I55+((G86-5)*(E49-E55)))</f>
        <v>-132.05298371428557</v>
      </c>
    </row>
    <row r="113" spans="1:10" x14ac:dyDescent="0.25">
      <c r="C113" s="49">
        <f>G86/100</f>
        <v>0.67424327904761905</v>
      </c>
      <c r="D113" s="37">
        <f>((E49*(G49-8))-(E50/100*E49*(G49-8)))-(I55+(G86*(E49-E55)))</f>
        <v>-424.25298371428562</v>
      </c>
      <c r="E113" s="37">
        <f>((E49*(G49-4))-(E50/100*E49*(G49-4)))-(I55+(G86*(E49-E55)))</f>
        <v>-368.81298371428556</v>
      </c>
      <c r="F113" s="37">
        <f>((E49*G49)-(E50/100*E49*G49))-(I55+(G86*(E49-E55)))</f>
        <v>-313.37298371428551</v>
      </c>
      <c r="G113" s="37">
        <f>((E49*(G49+4))-(E50/100*E49*(G49+4)))-(I55+(G86*(E49-E55)))</f>
        <v>-257.93298371428568</v>
      </c>
      <c r="H113" s="37">
        <f>((E49*(G49+8))-(E50/100*E49*(G49+8)))-(I55+(G86*(E49-E55)))</f>
        <v>-202.49298371428563</v>
      </c>
      <c r="I113" s="37">
        <f>((E49*(G49+12))-(E50/100*E49*(G49+12)))-(I55+(G86*(E49-E55)))</f>
        <v>-147.05298371428557</v>
      </c>
    </row>
    <row r="114" spans="1:10" x14ac:dyDescent="0.25">
      <c r="C114" s="49">
        <f>G86/100+0.05</f>
        <v>0.72424327904761909</v>
      </c>
      <c r="D114" s="37">
        <f>((E49*(G49-8))-(E50/100*E49*(G49-8)))-(I55+((G86+5)*(E49-E55)))</f>
        <v>-439.25298371428562</v>
      </c>
      <c r="E114" s="37">
        <f>((E49*(G49-4))-(E50/100*E49*(G49-4)))-(I55+((G86+5)*(E49-E55)))</f>
        <v>-383.81298371428556</v>
      </c>
      <c r="F114" s="37">
        <f>((E49*(G49))-(E50/100*E49*(G49)))-(I55+((G86+5)*(E49-E55)))</f>
        <v>-328.37298371428551</v>
      </c>
      <c r="G114" s="37">
        <f>((E49*(G49+4))-(E50/100*E49*(G49+4)))-(I55+((G86+5)*(E49-E55)))</f>
        <v>-272.93298371428568</v>
      </c>
      <c r="H114" s="37">
        <f>((E49*(G49+8))-(E50/100*E49*(G49+8)))-(I55+((G86+5)*(E49-E55)))</f>
        <v>-217.49298371428563</v>
      </c>
      <c r="I114" s="37">
        <f>((E49*(G49+12))-(E50/100*E49*(G49+12)))-(I55+((G86+5)*(E49-E55)))</f>
        <v>-162.05298371428557</v>
      </c>
    </row>
    <row r="115" spans="1:10" x14ac:dyDescent="0.25">
      <c r="C115" s="49">
        <f>G86/100+0.1</f>
        <v>0.77424327904761903</v>
      </c>
      <c r="D115" s="37">
        <f>((E49*(G49-8))-(E50/100*E49*(G49-8)))-(I55+((G86+10)*(E49-E55)))</f>
        <v>-454.25298371428562</v>
      </c>
      <c r="E115" s="37">
        <f>((E49*(G49-4))-(E50/100*E49*(G49-4)))-(I55+((G86+10)*(E49-E55)))</f>
        <v>-398.81298371428556</v>
      </c>
      <c r="F115" s="37">
        <f>((E49*(G49))-(E50/100*E49*(G49)))-(I55+((G86+10)*(E49-E55)))</f>
        <v>-343.37298371428551</v>
      </c>
      <c r="G115" s="37">
        <f>((E49*(G49+4))-(E50/100*E49*(G49+4)))-(I55+((G86+10)*(E49-E55)))</f>
        <v>-287.93298371428568</v>
      </c>
      <c r="H115" s="37">
        <f>((E49*(G49+8))-(E50/100*E49*(G49+8)))-(I55+((G86+10)*(E49-E55)))</f>
        <v>-232.49298371428563</v>
      </c>
      <c r="I115" s="37">
        <f>((E49*(G49+12))-(E50/100*E49*(G49+12)))-(I55+((G86+10)*(E49-E55)))</f>
        <v>-177.05298371428557</v>
      </c>
    </row>
    <row r="116" spans="1:10" x14ac:dyDescent="0.25">
      <c r="I116" s="26"/>
    </row>
    <row r="117" spans="1:10" x14ac:dyDescent="0.25">
      <c r="B117" s="17" t="s">
        <v>70</v>
      </c>
      <c r="I117" s="26"/>
    </row>
    <row r="118" spans="1:10" x14ac:dyDescent="0.25">
      <c r="B118" s="37" t="s">
        <v>71</v>
      </c>
      <c r="E118" s="51">
        <f>G55+10</f>
        <v>165</v>
      </c>
      <c r="F118" s="37" t="s">
        <v>72</v>
      </c>
      <c r="H118" s="25"/>
      <c r="I118" s="37"/>
    </row>
    <row r="119" spans="1:10" x14ac:dyDescent="0.25">
      <c r="B119" s="37"/>
      <c r="C119" s="142" t="s">
        <v>103</v>
      </c>
      <c r="E119" s="25"/>
      <c r="F119" s="37"/>
      <c r="H119" s="25"/>
      <c r="I119" s="37"/>
    </row>
    <row r="120" spans="1:10" x14ac:dyDescent="0.25">
      <c r="A120" s="15"/>
      <c r="B120" s="15"/>
      <c r="C120" s="19" t="s">
        <v>108</v>
      </c>
      <c r="D120" s="47">
        <f>G49-8</f>
        <v>107</v>
      </c>
      <c r="E120" s="47">
        <f>G49-4</f>
        <v>111</v>
      </c>
      <c r="F120" s="47">
        <f>G49</f>
        <v>115</v>
      </c>
      <c r="G120" s="47">
        <f>G49+4</f>
        <v>119</v>
      </c>
      <c r="H120" s="47">
        <f>G49+8</f>
        <v>123</v>
      </c>
      <c r="I120" s="47">
        <f>G49+12</f>
        <v>127</v>
      </c>
    </row>
    <row r="121" spans="1:10" x14ac:dyDescent="0.25">
      <c r="C121" s="49">
        <f>G86/100-0.1</f>
        <v>0.57424327904761907</v>
      </c>
      <c r="D121" s="37">
        <f>((E49*(G49-8))-(E50/100*E49*(G49-8)))-((E55*(G55+10))+((G86-10)*(E49-E55)))</f>
        <v>-504.25298371428562</v>
      </c>
      <c r="E121" s="37">
        <f>((E49*(G49-4))-(E50/100*E49*(G49-4)))-((E55*(G55+10))+((G86-10)*(E49-E55)))</f>
        <v>-448.81298371428556</v>
      </c>
      <c r="F121" s="37">
        <f>((E49*(G49))-(E50/100*E49*(G49)))-((E55*(G55+10))+((G86-10)*(E49-E55)))</f>
        <v>-393.37298371428551</v>
      </c>
      <c r="G121" s="37">
        <f>((E49*(G49+4))-(E50/100*E49*(G49+4)))-((E55*(G55+10))+((G86-10)*(E49-E55)))</f>
        <v>-337.93298371428568</v>
      </c>
      <c r="H121" s="37">
        <f>((E49*(G49+8))-(E50/100*E49*(G49+8)))-((E55*(G55+10))+((G86-10)*(E49-E55)))</f>
        <v>-282.49298371428563</v>
      </c>
      <c r="I121" s="37">
        <f>((E49*I120)-(E50/100*E49*I120))-((E55*E118)+(C121*100*(E49-E55)))</f>
        <v>-227.05298371428557</v>
      </c>
    </row>
    <row r="122" spans="1:10" x14ac:dyDescent="0.25">
      <c r="C122" s="49">
        <f>G86/100-0.05</f>
        <v>0.624243279047619</v>
      </c>
      <c r="D122" s="37">
        <f>((E49*(G49-8))-(E50/100*E49*(G49-8)))-((E55*(G55+10))+((G86-5)*(E49-E55)))</f>
        <v>-519.25298371428562</v>
      </c>
      <c r="E122" s="37">
        <f>((E49*(G49-4))-(E50/100*E49*(G49-4)))-((E55*(G55+10))+((G86-5)*(E49-E55)))</f>
        <v>-463.81298371428556</v>
      </c>
      <c r="F122" s="37">
        <f>((E49*(G49))-(E50/100*E49*(G49)))-((E55*(G55+10))+((G86-5)*(E49-E55)))</f>
        <v>-408.37298371428551</v>
      </c>
      <c r="G122" s="37">
        <f>((E49*(G49+4))-(E50/100*E49*(G49+4)))-((E55*(G55+10))+((G86-5)*(E49-E55)))</f>
        <v>-352.93298371428568</v>
      </c>
      <c r="H122" s="37">
        <f>((E49*(G49+8))-(E50/100*E49*(G49+8)))-((E55*(G55+10))+((G86-5)*(E49-E55)))</f>
        <v>-297.49298371428563</v>
      </c>
      <c r="I122" s="37">
        <f>((E49*(G49+12))-(E50/100*E49*(G49+12)))-((E55*(G55+10))+((G86-5)*(E49-E55)))</f>
        <v>-242.05298371428557</v>
      </c>
    </row>
    <row r="123" spans="1:10" x14ac:dyDescent="0.25">
      <c r="C123" s="49">
        <f>G86/100</f>
        <v>0.67424327904761905</v>
      </c>
      <c r="D123" s="37">
        <f>((E49*(G49-8))-(E50/100*E49*(G49-8)))-((E55*(G55+10))+(G86*(E49-E55)))</f>
        <v>-534.25298371428562</v>
      </c>
      <c r="E123" s="37">
        <f>((E49*(G49-4))-(E50/100*E49*(G49-4)))-((E55*(G55+10))+(G86*(E49-E55)))</f>
        <v>-478.81298371428556</v>
      </c>
      <c r="F123" s="37">
        <f>((E49*G49)-(E50/100*E49*G49))-((E55*(G55+10))+(G86*(E49-E55)))</f>
        <v>-423.37298371428551</v>
      </c>
      <c r="G123" s="37">
        <f>((E49*(G49+4))-(E50/100*E49*(G49+4)))-((E55*(G55+10))+(G86*(E49-E55)))</f>
        <v>-367.93298371428568</v>
      </c>
      <c r="H123" s="37">
        <f>((E49*(G49+8))-(E50/100*E49*(G49+8)))-((E55*(G55+10))+(G86*(E49-E55)))</f>
        <v>-312.49298371428563</v>
      </c>
      <c r="I123" s="37">
        <f>((E49*(G49+12))-(E50/100*E49*(G49+12)))-((E55*(G55+10))+(G86*(E49-E55)))</f>
        <v>-257.05298371428557</v>
      </c>
    </row>
    <row r="124" spans="1:10" x14ac:dyDescent="0.25">
      <c r="C124" s="49">
        <f>G86/100+0.05</f>
        <v>0.72424327904761909</v>
      </c>
      <c r="D124" s="37">
        <f>((E49*(G49-8))-(E50/100*E49*(G49-8)))-((E55*(G55+10))+((G86+5)*(E49-E55)))</f>
        <v>-549.25298371428562</v>
      </c>
      <c r="E124" s="37">
        <f>((E49*(G49-4))-(E50/100*E49*(G49-4)))-((E55*(G55+10))+((G86+5)*(E49-E55)))</f>
        <v>-493.81298371428556</v>
      </c>
      <c r="F124" s="37">
        <f>((E49*(G49))-(E50/100*E49*(G49)))-((E55*(G55+10))+((G86+5)*(E49-E55)))</f>
        <v>-438.37298371428551</v>
      </c>
      <c r="G124" s="37">
        <f>((E49*(G49+4))-(E50/100*E49*(G49+4)))-((E55*(G55+10))+((G86+5)*(E49-E55)))</f>
        <v>-382.93298371428568</v>
      </c>
      <c r="H124" s="37">
        <f>((E49*(G49+8))-(E50/100*E49*(G49+8)))-((E55*(G55+10))+((G86+5)*(E49-E55)))</f>
        <v>-327.49298371428563</v>
      </c>
      <c r="I124" s="37">
        <f>((E49*(G49+12))-(E50/100*E49*(G49+12)))-((E55*(G55+10))+((G86+5)*(E49-E55)))</f>
        <v>-272.05298371428557</v>
      </c>
    </row>
    <row r="125" spans="1:10" x14ac:dyDescent="0.25">
      <c r="C125" s="49">
        <f>G86/100+0.1</f>
        <v>0.77424327904761903</v>
      </c>
      <c r="D125" s="37">
        <f>((E49*(G49-8))-(E50/100*E49*(G49-8)))-((E55*(G55+10))+((G86+10)*(E49-E55)))</f>
        <v>-564.25298371428562</v>
      </c>
      <c r="E125" s="37">
        <f>((E49*(G49-4))-(E50/100*E69*(G49-4)))-((E55*(G55+10))+((G86+10)*(E49-E55)))</f>
        <v>-493.2729837142856</v>
      </c>
      <c r="F125" s="37">
        <f>((E49*(G49))-(E50/100*E49*(G49)))-((E55*(G55+10))+((G86+10)*(E49-E55)))</f>
        <v>-453.37298371428551</v>
      </c>
      <c r="G125" s="37">
        <f>((E49*(G49+4))-(E50/100*E49*(G49+4)))-((E55*(G55+10))+((G86+10)*(E49-E55)))</f>
        <v>-397.93298371428568</v>
      </c>
      <c r="H125" s="37">
        <f>((E49*(G49+8))-(E50/100*E49*(G49+8)))-((E55*(G55+10))+((G86+10)*(E49-E55)))</f>
        <v>-342.49298371428563</v>
      </c>
      <c r="I125" s="37">
        <f>((E49*(G49+12))-(E50/100*E49*(G49+12)))-((E55*(G55+10))+((G86+10)*(E49-E55)))</f>
        <v>-287.05298371428557</v>
      </c>
    </row>
    <row r="127" spans="1:10" x14ac:dyDescent="0.25">
      <c r="A127" s="247"/>
      <c r="B127" s="247"/>
      <c r="C127" s="247"/>
      <c r="D127" s="247"/>
      <c r="E127" s="247"/>
      <c r="F127" s="247"/>
      <c r="G127" s="247"/>
      <c r="H127" s="247"/>
      <c r="I127" s="247"/>
      <c r="J127" s="20"/>
    </row>
    <row r="128" spans="1:10" x14ac:dyDescent="0.25">
      <c r="A128" s="247"/>
      <c r="B128" s="247"/>
      <c r="C128" s="247"/>
      <c r="D128" s="247"/>
      <c r="E128" s="247"/>
      <c r="F128" s="247"/>
      <c r="G128" s="247"/>
      <c r="H128" s="247"/>
      <c r="I128" s="247"/>
      <c r="J128" s="20"/>
    </row>
    <row r="129" spans="1:10" x14ac:dyDescent="0.25">
      <c r="A129" s="20"/>
      <c r="J129" s="20"/>
    </row>
    <row r="130" spans="1:10" x14ac:dyDescent="0.25">
      <c r="A130" s="266"/>
      <c r="B130" s="266"/>
      <c r="C130" s="266"/>
      <c r="D130" s="266"/>
      <c r="E130" s="266"/>
      <c r="F130" s="266"/>
      <c r="G130" s="266"/>
      <c r="H130" s="266"/>
      <c r="I130" s="266"/>
      <c r="J130" s="20"/>
    </row>
    <row r="131" spans="1:10" x14ac:dyDescent="0.25">
      <c r="A131" s="266"/>
      <c r="B131" s="301"/>
      <c r="C131" s="301"/>
      <c r="D131" s="301"/>
      <c r="E131" s="301"/>
      <c r="F131" s="301"/>
      <c r="G131" s="301"/>
      <c r="H131" s="301"/>
      <c r="I131" s="301"/>
    </row>
    <row r="132" spans="1:10" x14ac:dyDescent="0.25">
      <c r="G132" s="25"/>
    </row>
    <row r="133" spans="1:10" x14ac:dyDescent="0.25">
      <c r="A133" s="267"/>
      <c r="B133" s="267"/>
      <c r="C133" s="267"/>
      <c r="D133" s="267"/>
      <c r="E133" s="267"/>
      <c r="F133" s="267"/>
      <c r="G133" s="267"/>
      <c r="H133" s="267"/>
      <c r="I133" s="267"/>
    </row>
    <row r="134" spans="1:10" x14ac:dyDescent="0.25">
      <c r="A134" s="267"/>
      <c r="B134" s="267"/>
      <c r="C134" s="267"/>
      <c r="D134" s="267"/>
      <c r="E134" s="267"/>
      <c r="F134" s="267"/>
      <c r="G134" s="267"/>
      <c r="H134" s="267"/>
      <c r="I134" s="267"/>
    </row>
    <row r="135" spans="1:10" x14ac:dyDescent="0.25">
      <c r="A135" s="20"/>
      <c r="G135" s="25"/>
    </row>
    <row r="137" spans="1:10" x14ac:dyDescent="0.25">
      <c r="A137" s="50"/>
    </row>
    <row r="139" spans="1:10" x14ac:dyDescent="0.25">
      <c r="A139" s="20"/>
    </row>
    <row r="140" spans="1:10" x14ac:dyDescent="0.25">
      <c r="A140" s="50"/>
    </row>
    <row r="141" spans="1:10" x14ac:dyDescent="0.25">
      <c r="A141" s="20"/>
    </row>
    <row r="152" spans="1:1" x14ac:dyDescent="0.25">
      <c r="A152" s="20"/>
    </row>
  </sheetData>
  <sheetProtection sheet="1" objects="1" scenarios="1"/>
  <mergeCells count="25">
    <mergeCell ref="B87:G87"/>
    <mergeCell ref="A131:I131"/>
    <mergeCell ref="A133:I134"/>
    <mergeCell ref="B101:C101"/>
    <mergeCell ref="B102:C102"/>
    <mergeCell ref="B103:C103"/>
    <mergeCell ref="B104:C104"/>
    <mergeCell ref="A127:I128"/>
    <mergeCell ref="A130:I130"/>
    <mergeCell ref="J37:M40"/>
    <mergeCell ref="B100:C100"/>
    <mergeCell ref="A1:I1"/>
    <mergeCell ref="A2:H2"/>
    <mergeCell ref="A5:I9"/>
    <mergeCell ref="A10:I10"/>
    <mergeCell ref="A11:I11"/>
    <mergeCell ref="C85:E85"/>
    <mergeCell ref="E86:F86"/>
    <mergeCell ref="C88:E88"/>
    <mergeCell ref="B98:C98"/>
    <mergeCell ref="B99:C99"/>
    <mergeCell ref="F34:F36"/>
    <mergeCell ref="G34:G36"/>
    <mergeCell ref="H35:H36"/>
    <mergeCell ref="B84:G84"/>
  </mergeCells>
  <conditionalFormatting sqref="D100:I104">
    <cfRule type="colorScale" priority="3">
      <colorScale>
        <cfvo type="num" val="0"/>
        <cfvo type="num" val="1"/>
        <cfvo type="max"/>
        <color rgb="FFF8696B"/>
        <color rgb="FFFFEB84"/>
        <color rgb="FF63BE7B"/>
      </colorScale>
    </cfRule>
    <cfRule type="colorScale" priority="5">
      <colorScale>
        <cfvo type="num" val="0"/>
        <cfvo type="percentile" val="50"/>
        <cfvo type="max"/>
        <color rgb="FFF8696B"/>
        <color rgb="FFFFEB84"/>
        <color rgb="FF63BE7B"/>
      </colorScale>
    </cfRule>
  </conditionalFormatting>
  <conditionalFormatting sqref="D111:I115">
    <cfRule type="colorScale" priority="4">
      <colorScale>
        <cfvo type="num" val="0"/>
        <cfvo type="num" val="1"/>
        <cfvo type="max"/>
        <color rgb="FFF8696B"/>
        <color rgb="FFFFEB84"/>
        <color rgb="FF63BE7B"/>
      </colorScale>
    </cfRule>
  </conditionalFormatting>
  <conditionalFormatting sqref="D121:I125">
    <cfRule type="colorScale" priority="1">
      <colorScale>
        <cfvo type="num" val="0"/>
        <cfvo type="num" val="1"/>
        <cfvo type="max"/>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r:id="rId1"/>
  <rowBreaks count="1" manualBreakCount="1">
    <brk id="94" max="16383" man="1"/>
  </rowBreaks>
  <extLst>
    <ext xmlns:x14="http://schemas.microsoft.com/office/spreadsheetml/2009/9/main" uri="{78C0D931-6437-407d-A8EE-F0AAD7539E65}">
      <x14:conditionalFormattings>
        <x14:conditionalFormatting xmlns:xm="http://schemas.microsoft.com/office/excel/2006/main">
          <x14:cfRule type="colorScale" priority="34" id="{42F8A91C-9E7D-4B04-8FD1-D5DA7444562F}">
            <x14:colorScale>
              <x14:cfvo type="min"/>
              <x14:cfvo type="num">
                <xm:f>'Background Nov-Feb'!$I$90</xm:f>
              </x14:cfvo>
              <x14:cfvo type="max"/>
              <x14:color rgb="FFF8696B"/>
              <x14:color rgb="FFFFEB84"/>
              <x14:color rgb="FF63BE7B"/>
            </x14:colorScale>
          </x14:cfRule>
          <xm:sqref>D100:I104</xm:sqref>
        </x14:conditionalFormatting>
        <x14:conditionalFormatting xmlns:xm="http://schemas.microsoft.com/office/excel/2006/main">
          <x14:cfRule type="colorScale" priority="35" id="{8E232902-2786-4F7F-96A1-367FBF226712}">
            <x14:colorScale>
              <x14:cfvo type="min"/>
              <x14:cfvo type="num">
                <xm:f>'Background Nov-Feb'!$I$90</xm:f>
              </x14:cfvo>
              <x14:cfvo type="max"/>
              <x14:color rgb="FFF8696B"/>
              <x14:color rgb="FFFFEB84"/>
              <x14:color rgb="FF63BE7B"/>
            </x14:colorScale>
          </x14:cfRule>
          <xm:sqref>D111:I115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20" sqref="A20"/>
    </sheetView>
  </sheetViews>
  <sheetFormatPr defaultRowHeight="12" x14ac:dyDescent="0.15"/>
  <sheetData>
    <row r="1" spans="1:1" x14ac:dyDescent="0.15">
      <c r="A1" s="170" t="s">
        <v>342</v>
      </c>
    </row>
    <row r="3" spans="1:1" x14ac:dyDescent="0.15">
      <c r="A3" s="170" t="s">
        <v>356</v>
      </c>
    </row>
    <row r="4" spans="1:1" x14ac:dyDescent="0.15">
      <c r="A4" s="170" t="s">
        <v>343</v>
      </c>
    </row>
    <row r="6" spans="1:1" x14ac:dyDescent="0.15">
      <c r="A6" s="170" t="s">
        <v>344</v>
      </c>
    </row>
    <row r="7" spans="1:1" x14ac:dyDescent="0.15">
      <c r="A7" s="170" t="s">
        <v>345</v>
      </c>
    </row>
    <row r="8" spans="1:1" x14ac:dyDescent="0.15">
      <c r="A8" s="170" t="s">
        <v>346</v>
      </c>
    </row>
    <row r="9" spans="1:1" x14ac:dyDescent="0.15">
      <c r="A9" s="170" t="s">
        <v>347</v>
      </c>
    </row>
    <row r="11" spans="1:1" x14ac:dyDescent="0.15">
      <c r="A11" s="170" t="s">
        <v>348</v>
      </c>
    </row>
    <row r="13" spans="1:1" x14ac:dyDescent="0.15">
      <c r="A13" s="170" t="s">
        <v>349</v>
      </c>
    </row>
    <row r="14" spans="1:1" x14ac:dyDescent="0.15">
      <c r="A14" s="170" t="s">
        <v>350</v>
      </c>
    </row>
    <row r="16" spans="1:1" x14ac:dyDescent="0.15">
      <c r="A16" s="170" t="s">
        <v>351</v>
      </c>
    </row>
    <row r="17" spans="1:1" x14ac:dyDescent="0.15">
      <c r="A17" s="170" t="s">
        <v>352</v>
      </c>
    </row>
    <row r="18" spans="1:1" x14ac:dyDescent="0.15">
      <c r="A18" s="170" t="s">
        <v>353</v>
      </c>
    </row>
    <row r="19" spans="1:1" x14ac:dyDescent="0.15">
      <c r="A19" s="170" t="s">
        <v>354</v>
      </c>
    </row>
    <row r="20" spans="1:1" x14ac:dyDescent="0.15">
      <c r="A20" s="170" t="s">
        <v>355</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33"/>
  <sheetViews>
    <sheetView workbookViewId="0">
      <selection activeCell="D30" sqref="D30"/>
    </sheetView>
  </sheetViews>
  <sheetFormatPr defaultRowHeight="15.75" x14ac:dyDescent="0.25"/>
  <cols>
    <col min="1" max="16384" width="9" style="179"/>
  </cols>
  <sheetData>
    <row r="6" spans="1:10" x14ac:dyDescent="0.25">
      <c r="A6" s="190" t="s">
        <v>223</v>
      </c>
      <c r="B6" s="191"/>
      <c r="C6" s="191"/>
      <c r="D6" s="190"/>
      <c r="E6" s="191"/>
      <c r="F6" s="191"/>
      <c r="G6" s="191"/>
      <c r="H6" s="191"/>
      <c r="I6" s="191"/>
      <c r="J6" s="191"/>
    </row>
    <row r="7" spans="1:10" x14ac:dyDescent="0.25">
      <c r="A7" s="237" t="s">
        <v>224</v>
      </c>
      <c r="B7" s="238"/>
      <c r="C7" s="238"/>
      <c r="D7" s="238"/>
      <c r="E7" s="238"/>
      <c r="F7" s="238"/>
      <c r="G7" s="238"/>
      <c r="H7" s="238"/>
      <c r="I7" s="238"/>
      <c r="J7" s="239"/>
    </row>
    <row r="8" spans="1:10" x14ac:dyDescent="0.25">
      <c r="A8" s="240"/>
      <c r="B8" s="241"/>
      <c r="C8" s="241"/>
      <c r="D8" s="241"/>
      <c r="E8" s="241"/>
      <c r="F8" s="241"/>
      <c r="G8" s="241"/>
      <c r="H8" s="241"/>
      <c r="I8" s="241"/>
      <c r="J8" s="242"/>
    </row>
    <row r="9" spans="1:10" x14ac:dyDescent="0.25">
      <c r="A9" s="240"/>
      <c r="B9" s="241"/>
      <c r="C9" s="241"/>
      <c r="D9" s="241"/>
      <c r="E9" s="241"/>
      <c r="F9" s="241"/>
      <c r="G9" s="241"/>
      <c r="H9" s="241"/>
      <c r="I9" s="241"/>
      <c r="J9" s="242"/>
    </row>
    <row r="10" spans="1:10" x14ac:dyDescent="0.25">
      <c r="A10" s="240"/>
      <c r="B10" s="241"/>
      <c r="C10" s="241"/>
      <c r="D10" s="241"/>
      <c r="E10" s="241"/>
      <c r="F10" s="241"/>
      <c r="G10" s="241"/>
      <c r="H10" s="241"/>
      <c r="I10" s="241"/>
      <c r="J10" s="242"/>
    </row>
    <row r="11" spans="1:10" x14ac:dyDescent="0.25">
      <c r="A11" s="240"/>
      <c r="B11" s="241"/>
      <c r="C11" s="241"/>
      <c r="D11" s="241"/>
      <c r="E11" s="241"/>
      <c r="F11" s="241"/>
      <c r="G11" s="241"/>
      <c r="H11" s="241"/>
      <c r="I11" s="241"/>
      <c r="J11" s="242"/>
    </row>
    <row r="12" spans="1:10" x14ac:dyDescent="0.25">
      <c r="A12" s="240"/>
      <c r="B12" s="241"/>
      <c r="C12" s="241"/>
      <c r="D12" s="241"/>
      <c r="E12" s="241"/>
      <c r="F12" s="241"/>
      <c r="G12" s="241"/>
      <c r="H12" s="241"/>
      <c r="I12" s="241"/>
      <c r="J12" s="242"/>
    </row>
    <row r="13" spans="1:10" x14ac:dyDescent="0.25">
      <c r="A13" s="240"/>
      <c r="B13" s="241"/>
      <c r="C13" s="241"/>
      <c r="D13" s="241"/>
      <c r="E13" s="241"/>
      <c r="F13" s="241"/>
      <c r="G13" s="241"/>
      <c r="H13" s="241"/>
      <c r="I13" s="241"/>
      <c r="J13" s="242"/>
    </row>
    <row r="14" spans="1:10" x14ac:dyDescent="0.25">
      <c r="A14" s="240"/>
      <c r="B14" s="241"/>
      <c r="C14" s="241"/>
      <c r="D14" s="241"/>
      <c r="E14" s="241"/>
      <c r="F14" s="241"/>
      <c r="G14" s="241"/>
      <c r="H14" s="241"/>
      <c r="I14" s="241"/>
      <c r="J14" s="242"/>
    </row>
    <row r="15" spans="1:10" x14ac:dyDescent="0.25">
      <c r="A15" s="243"/>
      <c r="B15" s="244"/>
      <c r="C15" s="244"/>
      <c r="D15" s="244"/>
      <c r="E15" s="244"/>
      <c r="F15" s="244"/>
      <c r="G15" s="244"/>
      <c r="H15" s="244"/>
      <c r="I15" s="244"/>
      <c r="J15" s="245"/>
    </row>
    <row r="16" spans="1:10" x14ac:dyDescent="0.25">
      <c r="A16" s="191"/>
      <c r="B16" s="191"/>
      <c r="C16" s="191"/>
      <c r="D16" s="191"/>
      <c r="E16" s="191"/>
      <c r="F16" s="191"/>
      <c r="G16" s="191"/>
      <c r="H16" s="191"/>
      <c r="I16" s="191"/>
      <c r="J16" s="191"/>
    </row>
    <row r="17" spans="1:10" ht="12.75" customHeight="1" x14ac:dyDescent="0.25">
      <c r="A17" s="246" t="s">
        <v>357</v>
      </c>
      <c r="B17" s="246"/>
      <c r="C17" s="246"/>
      <c r="D17" s="246"/>
      <c r="E17" s="246"/>
      <c r="F17" s="246"/>
      <c r="G17" s="246"/>
      <c r="H17" s="246"/>
      <c r="I17" s="246"/>
      <c r="J17" s="246"/>
    </row>
    <row r="18" spans="1:10" x14ac:dyDescent="0.25">
      <c r="A18" s="246"/>
      <c r="B18" s="246"/>
      <c r="C18" s="246"/>
      <c r="D18" s="246"/>
      <c r="E18" s="246"/>
      <c r="F18" s="246"/>
      <c r="G18" s="246"/>
      <c r="H18" s="246"/>
      <c r="I18" s="246"/>
      <c r="J18" s="246"/>
    </row>
    <row r="19" spans="1:10" x14ac:dyDescent="0.25">
      <c r="A19" s="246"/>
      <c r="B19" s="246"/>
      <c r="C19" s="246"/>
      <c r="D19" s="246"/>
      <c r="E19" s="246"/>
      <c r="F19" s="246"/>
      <c r="G19" s="246"/>
      <c r="H19" s="246"/>
      <c r="I19" s="246"/>
      <c r="J19" s="246"/>
    </row>
    <row r="20" spans="1:10" x14ac:dyDescent="0.25">
      <c r="A20" s="246"/>
      <c r="B20" s="246"/>
      <c r="C20" s="246"/>
      <c r="D20" s="246"/>
      <c r="E20" s="246"/>
      <c r="F20" s="246"/>
      <c r="G20" s="246"/>
      <c r="H20" s="246"/>
      <c r="I20" s="246"/>
      <c r="J20" s="246"/>
    </row>
    <row r="22" spans="1:10" x14ac:dyDescent="0.25">
      <c r="A22" s="179" t="s">
        <v>233</v>
      </c>
    </row>
    <row r="23" spans="1:10" x14ac:dyDescent="0.25">
      <c r="A23" s="192" t="s">
        <v>225</v>
      </c>
    </row>
    <row r="24" spans="1:10" x14ac:dyDescent="0.25">
      <c r="A24" s="192" t="s">
        <v>234</v>
      </c>
    </row>
    <row r="25" spans="1:10" x14ac:dyDescent="0.25">
      <c r="A25" s="192"/>
    </row>
    <row r="27" spans="1:10" x14ac:dyDescent="0.25">
      <c r="A27" s="192" t="s">
        <v>219</v>
      </c>
    </row>
    <row r="29" spans="1:10" x14ac:dyDescent="0.25">
      <c r="A29" s="192" t="s">
        <v>220</v>
      </c>
    </row>
    <row r="30" spans="1:10" x14ac:dyDescent="0.25">
      <c r="A30" s="192" t="s">
        <v>17</v>
      </c>
    </row>
    <row r="31" spans="1:10" x14ac:dyDescent="0.25">
      <c r="A31" s="192" t="s">
        <v>36</v>
      </c>
    </row>
    <row r="32" spans="1:10" x14ac:dyDescent="0.25">
      <c r="A32" s="192" t="s">
        <v>221</v>
      </c>
    </row>
    <row r="33" spans="1:1" x14ac:dyDescent="0.25">
      <c r="A33" s="192" t="s">
        <v>222</v>
      </c>
    </row>
  </sheetData>
  <sheetProtection sheet="1" objects="1" scenarios="1"/>
  <mergeCells count="2">
    <mergeCell ref="A7:J15"/>
    <mergeCell ref="A17:J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topLeftCell="A31" workbookViewId="0">
      <selection activeCell="D67" sqref="D67"/>
    </sheetView>
  </sheetViews>
  <sheetFormatPr defaultRowHeight="12" x14ac:dyDescent="0.15"/>
  <cols>
    <col min="7" max="7" width="13.125" customWidth="1"/>
    <col min="8" max="8" width="14" bestFit="1" customWidth="1"/>
  </cols>
  <sheetData>
    <row r="1" spans="1:15" x14ac:dyDescent="0.15">
      <c r="A1" s="170" t="s">
        <v>245</v>
      </c>
    </row>
    <row r="2" spans="1:15" x14ac:dyDescent="0.15">
      <c r="A2" s="170" t="s">
        <v>240</v>
      </c>
      <c r="B2" s="170" t="s">
        <v>241</v>
      </c>
      <c r="C2" s="170" t="s">
        <v>242</v>
      </c>
    </row>
    <row r="3" spans="1:15" x14ac:dyDescent="0.15">
      <c r="A3">
        <v>3.88</v>
      </c>
      <c r="B3">
        <v>-0.6</v>
      </c>
      <c r="C3">
        <f>+A3+B3</f>
        <v>3.28</v>
      </c>
    </row>
    <row r="4" spans="1:15" x14ac:dyDescent="0.15">
      <c r="A4">
        <v>3.99</v>
      </c>
      <c r="B4">
        <v>-0.6</v>
      </c>
      <c r="C4">
        <f t="shared" ref="C4:C5" si="0">+A4+B4</f>
        <v>3.39</v>
      </c>
    </row>
    <row r="5" spans="1:15" x14ac:dyDescent="0.15">
      <c r="A5">
        <v>4.05</v>
      </c>
      <c r="B5">
        <v>-0.6</v>
      </c>
      <c r="C5">
        <f t="shared" si="0"/>
        <v>3.4499999999999997</v>
      </c>
    </row>
    <row r="6" spans="1:15" x14ac:dyDescent="0.15">
      <c r="B6" s="170" t="s">
        <v>243</v>
      </c>
      <c r="C6">
        <f>+AVERAGE(C3:C5)</f>
        <v>3.3733333333333331</v>
      </c>
    </row>
    <row r="8" spans="1:15" x14ac:dyDescent="0.15">
      <c r="B8" s="196" t="s">
        <v>244</v>
      </c>
      <c r="C8">
        <f>3.37*0.7</f>
        <v>2.359</v>
      </c>
    </row>
    <row r="10" spans="1:15" x14ac:dyDescent="0.15">
      <c r="A10" t="s">
        <v>246</v>
      </c>
      <c r="I10" s="170" t="s">
        <v>272</v>
      </c>
      <c r="J10" s="170" t="s">
        <v>273</v>
      </c>
      <c r="K10" s="170" t="s">
        <v>274</v>
      </c>
      <c r="L10" s="170" t="s">
        <v>275</v>
      </c>
      <c r="M10" s="170" t="s">
        <v>276</v>
      </c>
      <c r="N10" s="170" t="s">
        <v>290</v>
      </c>
    </row>
    <row r="11" spans="1:15" x14ac:dyDescent="0.15">
      <c r="A11" t="s">
        <v>247</v>
      </c>
      <c r="H11" s="170" t="s">
        <v>87</v>
      </c>
      <c r="K11">
        <v>70</v>
      </c>
      <c r="M11" s="170" t="s">
        <v>277</v>
      </c>
      <c r="O11" s="170" t="s">
        <v>280</v>
      </c>
    </row>
    <row r="12" spans="1:15" x14ac:dyDescent="0.15">
      <c r="A12" t="s">
        <v>248</v>
      </c>
      <c r="I12" s="170" t="s">
        <v>278</v>
      </c>
      <c r="J12">
        <v>140</v>
      </c>
      <c r="K12">
        <v>90</v>
      </c>
      <c r="O12" s="170" t="s">
        <v>281</v>
      </c>
    </row>
    <row r="13" spans="1:15" x14ac:dyDescent="0.15">
      <c r="A13" t="s">
        <v>249</v>
      </c>
    </row>
    <row r="14" spans="1:15" x14ac:dyDescent="0.15">
      <c r="A14" t="s">
        <v>250</v>
      </c>
      <c r="H14" s="170" t="s">
        <v>279</v>
      </c>
      <c r="I14">
        <v>125</v>
      </c>
      <c r="J14">
        <v>90</v>
      </c>
      <c r="K14" s="170" t="s">
        <v>282</v>
      </c>
      <c r="O14" s="170" t="s">
        <v>281</v>
      </c>
    </row>
    <row r="17" spans="1:15" x14ac:dyDescent="0.15">
      <c r="A17" t="s">
        <v>251</v>
      </c>
    </row>
    <row r="18" spans="1:15" x14ac:dyDescent="0.15">
      <c r="A18" t="s">
        <v>252</v>
      </c>
    </row>
    <row r="19" spans="1:15" x14ac:dyDescent="0.15">
      <c r="A19" t="s">
        <v>253</v>
      </c>
      <c r="H19" s="170" t="s">
        <v>87</v>
      </c>
      <c r="M19" s="170" t="s">
        <v>283</v>
      </c>
      <c r="O19" s="170" t="s">
        <v>284</v>
      </c>
    </row>
    <row r="20" spans="1:15" x14ac:dyDescent="0.15">
      <c r="A20" t="s">
        <v>254</v>
      </c>
      <c r="H20" s="170" t="s">
        <v>285</v>
      </c>
      <c r="I20">
        <v>90</v>
      </c>
      <c r="K20" s="170" t="s">
        <v>286</v>
      </c>
      <c r="M20" s="170" t="s">
        <v>287</v>
      </c>
      <c r="O20" s="170" t="s">
        <v>284</v>
      </c>
    </row>
    <row r="21" spans="1:15" x14ac:dyDescent="0.15">
      <c r="A21" t="s">
        <v>255</v>
      </c>
      <c r="H21" s="170" t="s">
        <v>288</v>
      </c>
      <c r="K21" s="170" t="s">
        <v>289</v>
      </c>
      <c r="N21">
        <v>40</v>
      </c>
      <c r="O21" s="170" t="s">
        <v>284</v>
      </c>
    </row>
    <row r="22" spans="1:15" x14ac:dyDescent="0.15">
      <c r="A22" t="s">
        <v>256</v>
      </c>
    </row>
    <row r="23" spans="1:15" x14ac:dyDescent="0.15">
      <c r="A23" t="s">
        <v>257</v>
      </c>
    </row>
    <row r="24" spans="1:15" x14ac:dyDescent="0.15">
      <c r="A24" t="s">
        <v>258</v>
      </c>
    </row>
    <row r="25" spans="1:15" x14ac:dyDescent="0.15">
      <c r="A25" t="s">
        <v>259</v>
      </c>
    </row>
    <row r="27" spans="1:15" x14ac:dyDescent="0.15">
      <c r="A27" t="s">
        <v>260</v>
      </c>
    </row>
    <row r="28" spans="1:15" x14ac:dyDescent="0.15">
      <c r="A28" t="s">
        <v>261</v>
      </c>
      <c r="H28" s="170" t="s">
        <v>291</v>
      </c>
      <c r="K28" s="170" t="s">
        <v>292</v>
      </c>
      <c r="M28" s="170" t="s">
        <v>293</v>
      </c>
      <c r="N28" s="170" t="s">
        <v>294</v>
      </c>
      <c r="O28" s="170" t="s">
        <v>295</v>
      </c>
    </row>
    <row r="29" spans="1:15" x14ac:dyDescent="0.15">
      <c r="A29" t="s">
        <v>262</v>
      </c>
      <c r="H29" s="170" t="s">
        <v>288</v>
      </c>
      <c r="K29" s="170" t="s">
        <v>296</v>
      </c>
      <c r="M29">
        <v>85</v>
      </c>
      <c r="O29" s="170" t="s">
        <v>284</v>
      </c>
    </row>
    <row r="30" spans="1:15" x14ac:dyDescent="0.15">
      <c r="A30" t="s">
        <v>263</v>
      </c>
      <c r="H30" s="170" t="s">
        <v>285</v>
      </c>
      <c r="I30">
        <v>155</v>
      </c>
      <c r="K30" s="170" t="s">
        <v>297</v>
      </c>
      <c r="M30" s="170" t="s">
        <v>298</v>
      </c>
      <c r="O30" s="170" t="s">
        <v>295</v>
      </c>
    </row>
    <row r="31" spans="1:15" x14ac:dyDescent="0.15">
      <c r="A31" t="s">
        <v>264</v>
      </c>
      <c r="H31" s="170" t="s">
        <v>299</v>
      </c>
      <c r="N31" s="170" t="s">
        <v>300</v>
      </c>
      <c r="O31" s="170" t="s">
        <v>295</v>
      </c>
    </row>
    <row r="32" spans="1:15" x14ac:dyDescent="0.15">
      <c r="A32" t="s">
        <v>265</v>
      </c>
      <c r="G32" s="170" t="s">
        <v>302</v>
      </c>
      <c r="H32" s="170" t="s">
        <v>301</v>
      </c>
      <c r="N32" s="170" t="s">
        <v>303</v>
      </c>
      <c r="O32" s="170" t="s">
        <v>284</v>
      </c>
    </row>
    <row r="33" spans="1:3" x14ac:dyDescent="0.15">
      <c r="A33" t="s">
        <v>266</v>
      </c>
    </row>
    <row r="34" spans="1:3" x14ac:dyDescent="0.15">
      <c r="A34" t="s">
        <v>267</v>
      </c>
    </row>
    <row r="35" spans="1:3" x14ac:dyDescent="0.15">
      <c r="A35" t="s">
        <v>268</v>
      </c>
    </row>
    <row r="36" spans="1:3" x14ac:dyDescent="0.15">
      <c r="A36" t="s">
        <v>269</v>
      </c>
    </row>
    <row r="37" spans="1:3" x14ac:dyDescent="0.15">
      <c r="A37" t="s">
        <v>270</v>
      </c>
    </row>
    <row r="38" spans="1:3" x14ac:dyDescent="0.15">
      <c r="A38" t="s">
        <v>271</v>
      </c>
    </row>
    <row r="41" spans="1:3" x14ac:dyDescent="0.15">
      <c r="A41" s="170" t="s">
        <v>304</v>
      </c>
    </row>
    <row r="42" spans="1:3" x14ac:dyDescent="0.15">
      <c r="A42" s="170" t="s">
        <v>305</v>
      </c>
    </row>
    <row r="43" spans="1:3" x14ac:dyDescent="0.15">
      <c r="A43" s="170" t="s">
        <v>306</v>
      </c>
      <c r="B43">
        <v>135</v>
      </c>
    </row>
    <row r="44" spans="1:3" x14ac:dyDescent="0.15">
      <c r="A44" s="170" t="s">
        <v>307</v>
      </c>
      <c r="B44">
        <v>70</v>
      </c>
    </row>
    <row r="45" spans="1:3" x14ac:dyDescent="0.15">
      <c r="A45" s="170" t="s">
        <v>308</v>
      </c>
      <c r="B45">
        <v>40</v>
      </c>
      <c r="C45" s="170" t="s">
        <v>309</v>
      </c>
    </row>
    <row r="47" spans="1:3" x14ac:dyDescent="0.15">
      <c r="A47" s="170" t="s">
        <v>314</v>
      </c>
    </row>
    <row r="48" spans="1:3" x14ac:dyDescent="0.15">
      <c r="A48" s="170" t="s">
        <v>315</v>
      </c>
      <c r="B48">
        <v>130.75</v>
      </c>
    </row>
    <row r="49" spans="1:2" x14ac:dyDescent="0.15">
      <c r="A49" s="170" t="s">
        <v>316</v>
      </c>
      <c r="B49">
        <v>137.4</v>
      </c>
    </row>
    <row r="50" spans="1:2" x14ac:dyDescent="0.15">
      <c r="A50" s="170" t="s">
        <v>317</v>
      </c>
      <c r="B50">
        <v>139.30000000000001</v>
      </c>
    </row>
    <row r="51" spans="1:2" x14ac:dyDescent="0.15">
      <c r="A51" s="170" t="s">
        <v>318</v>
      </c>
      <c r="B51">
        <v>138.94999999999999</v>
      </c>
    </row>
    <row r="52" spans="1:2" x14ac:dyDescent="0.15">
      <c r="A52" s="170" t="s">
        <v>319</v>
      </c>
      <c r="B52">
        <v>130.85</v>
      </c>
    </row>
    <row r="53" spans="1:2" x14ac:dyDescent="0.15">
      <c r="A53" s="170" t="s">
        <v>320</v>
      </c>
      <c r="B53">
        <v>128.5</v>
      </c>
    </row>
    <row r="55" spans="1:2" x14ac:dyDescent="0.15">
      <c r="A55" s="170" t="s">
        <v>321</v>
      </c>
    </row>
    <row r="56" spans="1:2" x14ac:dyDescent="0.15">
      <c r="A56" s="170" t="s">
        <v>315</v>
      </c>
      <c r="B56">
        <v>188.83</v>
      </c>
    </row>
    <row r="57" spans="1:2" x14ac:dyDescent="0.15">
      <c r="A57" s="170" t="s">
        <v>322</v>
      </c>
      <c r="B57">
        <v>184.6</v>
      </c>
    </row>
    <row r="58" spans="1:2" x14ac:dyDescent="0.15">
      <c r="A58" s="170" t="s">
        <v>323</v>
      </c>
      <c r="B58">
        <v>179.5</v>
      </c>
    </row>
    <row r="59" spans="1:2" x14ac:dyDescent="0.15">
      <c r="A59" s="170" t="s">
        <v>324</v>
      </c>
      <c r="B59">
        <v>177.6</v>
      </c>
    </row>
    <row r="60" spans="1:2" x14ac:dyDescent="0.15">
      <c r="A60" s="170" t="s">
        <v>318</v>
      </c>
      <c r="B60">
        <v>178.23</v>
      </c>
    </row>
    <row r="61" spans="1:2" x14ac:dyDescent="0.15">
      <c r="A61" s="170" t="s">
        <v>325</v>
      </c>
      <c r="B61">
        <v>178.1</v>
      </c>
    </row>
    <row r="62" spans="1:2" x14ac:dyDescent="0.15">
      <c r="A62" s="170" t="s">
        <v>320</v>
      </c>
      <c r="B62">
        <v>178.37</v>
      </c>
    </row>
    <row r="63" spans="1:2" x14ac:dyDescent="0.15">
      <c r="A63" s="170" t="s">
        <v>326</v>
      </c>
      <c r="B63" s="200" t="s">
        <v>327</v>
      </c>
    </row>
    <row r="64" spans="1:2" x14ac:dyDescent="0.15">
      <c r="A64" s="170" t="s">
        <v>315</v>
      </c>
      <c r="B64" s="200" t="s">
        <v>327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0"/>
  <sheetViews>
    <sheetView workbookViewId="0">
      <selection activeCell="F24" sqref="F24"/>
    </sheetView>
  </sheetViews>
  <sheetFormatPr defaultRowHeight="12" x14ac:dyDescent="0.15"/>
  <cols>
    <col min="1" max="1" width="17.875" bestFit="1" customWidth="1"/>
    <col min="5" max="5" width="10.875" bestFit="1" customWidth="1"/>
    <col min="6" max="6" width="9.875" bestFit="1" customWidth="1"/>
  </cols>
  <sheetData>
    <row r="1" spans="1:13" ht="14.25" customHeight="1" x14ac:dyDescent="0.15">
      <c r="A1" s="249" t="s">
        <v>226</v>
      </c>
      <c r="B1" s="249"/>
      <c r="C1" s="249"/>
      <c r="D1" s="249"/>
      <c r="E1" s="249"/>
      <c r="F1" s="249"/>
      <c r="G1" s="249"/>
      <c r="H1" s="249"/>
    </row>
    <row r="2" spans="1:13" ht="14.25" customHeight="1" x14ac:dyDescent="0.15">
      <c r="A2" s="249"/>
      <c r="B2" s="249"/>
      <c r="C2" s="249"/>
      <c r="D2" s="249"/>
      <c r="E2" s="249"/>
      <c r="F2" s="249"/>
      <c r="G2" s="249"/>
      <c r="H2" s="249"/>
      <c r="K2" s="170"/>
    </row>
    <row r="3" spans="1:13" x14ac:dyDescent="0.15">
      <c r="A3" s="249"/>
      <c r="B3" s="249"/>
      <c r="C3" s="249"/>
      <c r="D3" s="249"/>
      <c r="E3" s="249"/>
      <c r="F3" s="249"/>
      <c r="G3" s="249"/>
      <c r="H3" s="249"/>
      <c r="K3" s="170"/>
      <c r="L3" s="170"/>
      <c r="M3" s="170"/>
    </row>
    <row r="4" spans="1:13" x14ac:dyDescent="0.15">
      <c r="A4" s="249"/>
      <c r="B4" s="249"/>
      <c r="C4" s="249"/>
      <c r="D4" s="249"/>
      <c r="E4" s="249"/>
      <c r="F4" s="249"/>
      <c r="G4" s="249"/>
      <c r="H4" s="249"/>
    </row>
    <row r="5" spans="1:13" x14ac:dyDescent="0.15">
      <c r="A5" s="249"/>
      <c r="B5" s="249"/>
      <c r="C5" s="249"/>
      <c r="D5" s="249"/>
      <c r="E5" s="249"/>
      <c r="F5" s="249"/>
      <c r="G5" s="249"/>
      <c r="H5" s="249"/>
    </row>
    <row r="6" spans="1:13" x14ac:dyDescent="0.15">
      <c r="A6" s="249"/>
      <c r="B6" s="249"/>
      <c r="C6" s="249"/>
      <c r="D6" s="249"/>
      <c r="E6" s="249"/>
      <c r="F6" s="249"/>
      <c r="G6" s="249"/>
      <c r="H6" s="249"/>
    </row>
    <row r="7" spans="1:13" x14ac:dyDescent="0.15">
      <c r="A7" s="249"/>
      <c r="B7" s="249"/>
      <c r="C7" s="249"/>
      <c r="D7" s="249"/>
      <c r="E7" s="249"/>
      <c r="F7" s="249"/>
      <c r="G7" s="249"/>
      <c r="H7" s="249"/>
      <c r="L7" s="170"/>
    </row>
    <row r="8" spans="1:13" x14ac:dyDescent="0.15">
      <c r="A8" s="249"/>
      <c r="B8" s="249"/>
      <c r="C8" s="249"/>
      <c r="D8" s="249"/>
      <c r="E8" s="249"/>
      <c r="F8" s="249"/>
      <c r="G8" s="249"/>
      <c r="H8" s="249"/>
    </row>
    <row r="9" spans="1:13" ht="12" customHeight="1" x14ac:dyDescent="0.25">
      <c r="A9" s="246" t="s">
        <v>232</v>
      </c>
      <c r="B9" s="246"/>
      <c r="C9" s="246"/>
      <c r="D9" s="246"/>
      <c r="E9" s="246"/>
      <c r="F9" s="246"/>
      <c r="G9" s="246"/>
      <c r="H9" s="246"/>
      <c r="I9" s="201"/>
      <c r="J9" s="201"/>
    </row>
    <row r="10" spans="1:13" ht="12" customHeight="1" x14ac:dyDescent="0.25">
      <c r="A10" s="246"/>
      <c r="B10" s="246"/>
      <c r="C10" s="246"/>
      <c r="D10" s="246"/>
      <c r="E10" s="246"/>
      <c r="F10" s="246"/>
      <c r="G10" s="246"/>
      <c r="H10" s="246"/>
      <c r="I10" s="201"/>
      <c r="J10" s="201"/>
    </row>
    <row r="11" spans="1:13" ht="12" customHeight="1" x14ac:dyDescent="0.25">
      <c r="A11" s="246"/>
      <c r="B11" s="246"/>
      <c r="C11" s="246"/>
      <c r="D11" s="246"/>
      <c r="E11" s="246"/>
      <c r="F11" s="246"/>
      <c r="G11" s="246"/>
      <c r="H11" s="246"/>
      <c r="I11" s="201"/>
      <c r="J11" s="201"/>
    </row>
    <row r="12" spans="1:13" ht="12" customHeight="1" x14ac:dyDescent="0.25">
      <c r="A12" s="246"/>
      <c r="B12" s="246"/>
      <c r="C12" s="246"/>
      <c r="D12" s="246"/>
      <c r="E12" s="246"/>
      <c r="F12" s="246"/>
      <c r="G12" s="246"/>
      <c r="H12" s="246"/>
      <c r="I12" s="201"/>
      <c r="J12" s="201"/>
      <c r="L12" s="196"/>
    </row>
    <row r="13" spans="1:13" ht="15.75" customHeight="1" x14ac:dyDescent="0.15">
      <c r="A13" s="246" t="s">
        <v>235</v>
      </c>
      <c r="B13" s="246"/>
      <c r="C13" s="246"/>
      <c r="D13" s="246"/>
      <c r="E13" s="246"/>
      <c r="F13" s="246"/>
      <c r="G13" s="246"/>
      <c r="H13" s="246"/>
    </row>
    <row r="14" spans="1:13" x14ac:dyDescent="0.15">
      <c r="A14" s="246"/>
      <c r="B14" s="246"/>
      <c r="C14" s="246"/>
      <c r="D14" s="246"/>
      <c r="E14" s="246"/>
      <c r="F14" s="246"/>
      <c r="G14" s="246"/>
      <c r="H14" s="246"/>
    </row>
    <row r="15" spans="1:13" x14ac:dyDescent="0.15">
      <c r="A15" s="246"/>
      <c r="B15" s="246"/>
      <c r="C15" s="246"/>
      <c r="D15" s="246"/>
      <c r="E15" s="246"/>
      <c r="F15" s="246"/>
      <c r="G15" s="246"/>
      <c r="H15" s="246"/>
    </row>
    <row r="16" spans="1:13" x14ac:dyDescent="0.15">
      <c r="A16" s="246"/>
      <c r="B16" s="246"/>
      <c r="C16" s="246"/>
      <c r="D16" s="246"/>
      <c r="E16" s="246"/>
      <c r="F16" s="246"/>
      <c r="G16" s="246"/>
      <c r="H16" s="246"/>
    </row>
    <row r="17" spans="1:8" x14ac:dyDescent="0.15">
      <c r="A17" s="246"/>
      <c r="B17" s="246"/>
      <c r="C17" s="246"/>
      <c r="D17" s="246"/>
      <c r="E17" s="246"/>
      <c r="F17" s="246"/>
      <c r="G17" s="246"/>
      <c r="H17" s="246"/>
    </row>
    <row r="18" spans="1:8" ht="15.75" x14ac:dyDescent="0.25">
      <c r="A18" s="180"/>
      <c r="B18" s="180"/>
      <c r="C18" s="180"/>
      <c r="D18" s="180"/>
      <c r="E18" s="180"/>
      <c r="F18" s="180"/>
      <c r="G18" s="180"/>
      <c r="H18" s="180"/>
    </row>
    <row r="19" spans="1:8" x14ac:dyDescent="0.15">
      <c r="B19" s="247" t="s">
        <v>160</v>
      </c>
    </row>
    <row r="20" spans="1:8" ht="15" x14ac:dyDescent="0.25">
      <c r="B20" s="248"/>
      <c r="C20" s="15" t="s">
        <v>89</v>
      </c>
      <c r="E20" s="1" t="s">
        <v>231</v>
      </c>
      <c r="F20" s="234">
        <v>42417</v>
      </c>
    </row>
    <row r="21" spans="1:8" ht="15" x14ac:dyDescent="0.25">
      <c r="A21" s="63" t="s">
        <v>135</v>
      </c>
      <c r="B21" s="186">
        <v>10</v>
      </c>
      <c r="C21" s="9" t="s">
        <v>84</v>
      </c>
    </row>
    <row r="22" spans="1:8" ht="15" x14ac:dyDescent="0.25">
      <c r="A22" s="63" t="s">
        <v>310</v>
      </c>
      <c r="B22" s="186">
        <v>22</v>
      </c>
      <c r="C22" s="9" t="s">
        <v>84</v>
      </c>
    </row>
    <row r="23" spans="1:8" ht="15" x14ac:dyDescent="0.25">
      <c r="A23" s="63" t="s">
        <v>213</v>
      </c>
      <c r="B23" s="186">
        <v>3.27</v>
      </c>
      <c r="C23" s="9" t="s">
        <v>85</v>
      </c>
    </row>
    <row r="24" spans="1:8" ht="15" x14ac:dyDescent="0.25">
      <c r="A24" s="63" t="s">
        <v>212</v>
      </c>
      <c r="B24" s="186">
        <v>2.27</v>
      </c>
      <c r="C24" s="9" t="s">
        <v>85</v>
      </c>
    </row>
    <row r="25" spans="1:8" ht="15" x14ac:dyDescent="0.25">
      <c r="A25" s="63" t="s">
        <v>34</v>
      </c>
      <c r="B25" s="186">
        <v>90</v>
      </c>
      <c r="C25" s="9" t="s">
        <v>86</v>
      </c>
    </row>
    <row r="26" spans="1:8" ht="15" x14ac:dyDescent="0.25">
      <c r="A26" s="63" t="s">
        <v>87</v>
      </c>
      <c r="B26" s="186">
        <v>100</v>
      </c>
      <c r="C26" s="9" t="s">
        <v>86</v>
      </c>
    </row>
    <row r="27" spans="1:8" ht="15" x14ac:dyDescent="0.25">
      <c r="A27" s="63" t="s">
        <v>88</v>
      </c>
      <c r="B27" s="186">
        <v>32</v>
      </c>
      <c r="C27" s="9" t="s">
        <v>86</v>
      </c>
    </row>
    <row r="28" spans="1:8" ht="15" x14ac:dyDescent="0.25">
      <c r="A28" s="63" t="s">
        <v>136</v>
      </c>
      <c r="B28" s="186">
        <v>55</v>
      </c>
      <c r="C28" s="9" t="s">
        <v>86</v>
      </c>
    </row>
    <row r="29" spans="1:8" ht="15" x14ac:dyDescent="0.25">
      <c r="A29" s="63" t="s">
        <v>166</v>
      </c>
      <c r="B29" s="186">
        <v>125</v>
      </c>
      <c r="C29" s="9" t="s">
        <v>86</v>
      </c>
    </row>
    <row r="30" spans="1:8" ht="15" x14ac:dyDescent="0.25">
      <c r="A30" s="89" t="s">
        <v>118</v>
      </c>
      <c r="B30" s="187">
        <v>45</v>
      </c>
      <c r="C30" s="15" t="s">
        <v>119</v>
      </c>
    </row>
  </sheetData>
  <sheetProtection sheet="1" objects="1" scenarios="1"/>
  <mergeCells count="4">
    <mergeCell ref="B19:B20"/>
    <mergeCell ref="A1:H8"/>
    <mergeCell ref="A13:H17"/>
    <mergeCell ref="A9:H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C32F2"/>
  </sheetPr>
  <dimension ref="A1:AH97"/>
  <sheetViews>
    <sheetView workbookViewId="0">
      <selection activeCell="O20" sqref="O20"/>
    </sheetView>
  </sheetViews>
  <sheetFormatPr defaultRowHeight="12" x14ac:dyDescent="0.15"/>
  <cols>
    <col min="4" max="4" width="10.125" bestFit="1" customWidth="1"/>
    <col min="9" max="9" width="11.125" bestFit="1" customWidth="1"/>
    <col min="10" max="34" width="9" style="123"/>
  </cols>
  <sheetData>
    <row r="1" spans="1:9" ht="23.25" x14ac:dyDescent="0.35">
      <c r="A1" s="251" t="s">
        <v>214</v>
      </c>
      <c r="B1" s="252"/>
      <c r="C1" s="252"/>
      <c r="D1" s="252"/>
      <c r="E1" s="252"/>
      <c r="F1" s="252"/>
      <c r="G1" s="252"/>
      <c r="H1" s="252"/>
      <c r="I1" s="252"/>
    </row>
    <row r="2" spans="1:9" ht="15" x14ac:dyDescent="0.25">
      <c r="A2" s="9"/>
      <c r="B2" s="9"/>
      <c r="H2" s="253">
        <f>+'Step 1 - Feed Cost Input Sheet '!F20</f>
        <v>42417</v>
      </c>
      <c r="I2" s="253"/>
    </row>
    <row r="3" spans="1:9" ht="15" x14ac:dyDescent="0.25">
      <c r="A3" s="9"/>
      <c r="B3" s="9"/>
      <c r="I3" s="99"/>
    </row>
    <row r="4" spans="1:9" x14ac:dyDescent="0.15">
      <c r="A4" s="247" t="s">
        <v>111</v>
      </c>
      <c r="B4" s="247"/>
      <c r="C4" s="247"/>
      <c r="D4" s="247"/>
      <c r="E4" s="247"/>
      <c r="F4" s="247"/>
      <c r="G4" s="247"/>
      <c r="H4" s="247"/>
      <c r="I4" s="247"/>
    </row>
    <row r="5" spans="1:9" x14ac:dyDescent="0.15">
      <c r="A5" s="247"/>
      <c r="B5" s="247"/>
      <c r="C5" s="247"/>
      <c r="D5" s="247"/>
      <c r="E5" s="247"/>
      <c r="F5" s="247"/>
      <c r="G5" s="247"/>
      <c r="H5" s="247"/>
      <c r="I5" s="247"/>
    </row>
    <row r="6" spans="1:9" x14ac:dyDescent="0.15">
      <c r="A6" s="247"/>
      <c r="B6" s="247"/>
      <c r="C6" s="247"/>
      <c r="D6" s="247"/>
      <c r="E6" s="247"/>
      <c r="F6" s="247"/>
      <c r="G6" s="247"/>
      <c r="H6" s="247"/>
      <c r="I6" s="247"/>
    </row>
    <row r="7" spans="1:9" x14ac:dyDescent="0.15">
      <c r="A7" s="247"/>
      <c r="B7" s="247"/>
      <c r="C7" s="247"/>
      <c r="D7" s="247"/>
      <c r="E7" s="247"/>
      <c r="F7" s="247"/>
      <c r="G7" s="247"/>
      <c r="H7" s="247"/>
      <c r="I7" s="247"/>
    </row>
    <row r="8" spans="1:9" x14ac:dyDescent="0.15">
      <c r="A8" s="247"/>
      <c r="B8" s="247"/>
      <c r="C8" s="247"/>
      <c r="D8" s="247"/>
      <c r="E8" s="247"/>
      <c r="F8" s="247"/>
      <c r="G8" s="247"/>
      <c r="H8" s="247"/>
      <c r="I8" s="247"/>
    </row>
    <row r="9" spans="1:9" ht="15" x14ac:dyDescent="0.25">
      <c r="A9" s="254" t="s">
        <v>0</v>
      </c>
      <c r="B9" s="254"/>
      <c r="C9" s="254"/>
      <c r="D9" s="254"/>
      <c r="E9" s="254"/>
      <c r="F9" s="254"/>
      <c r="G9" s="254"/>
      <c r="H9" s="254"/>
      <c r="I9" s="254"/>
    </row>
    <row r="10" spans="1:9" ht="15" x14ac:dyDescent="0.25">
      <c r="A10" s="9"/>
      <c r="B10" s="9"/>
      <c r="C10" s="9"/>
      <c r="D10" s="9"/>
      <c r="E10" s="9"/>
      <c r="F10" s="9"/>
      <c r="G10" s="9"/>
      <c r="H10" s="9"/>
      <c r="I10" s="9"/>
    </row>
    <row r="11" spans="1:9" ht="15" x14ac:dyDescent="0.25">
      <c r="A11" s="26" t="s">
        <v>120</v>
      </c>
      <c r="B11" s="9"/>
      <c r="C11" s="161" t="s">
        <v>210</v>
      </c>
      <c r="D11" s="9"/>
      <c r="E11" s="9"/>
      <c r="F11" s="9"/>
      <c r="G11" s="9"/>
      <c r="H11" s="1" t="s">
        <v>211</v>
      </c>
      <c r="I11" s="9"/>
    </row>
    <row r="12" spans="1:9" ht="15" x14ac:dyDescent="0.25">
      <c r="B12" s="26"/>
      <c r="I12" s="9"/>
    </row>
    <row r="13" spans="1:9" ht="15" x14ac:dyDescent="0.25">
      <c r="A13" s="26"/>
      <c r="B13" s="9"/>
      <c r="D13" s="9"/>
      <c r="E13" s="9"/>
      <c r="F13" s="9"/>
      <c r="G13" s="9"/>
      <c r="H13" s="9"/>
      <c r="I13" s="9"/>
    </row>
    <row r="14" spans="1:9" ht="15" x14ac:dyDescent="0.25">
      <c r="A14" s="9"/>
      <c r="B14" s="26"/>
      <c r="C14" s="20"/>
      <c r="D14" s="9"/>
      <c r="E14" s="9"/>
      <c r="F14" s="9"/>
      <c r="G14" s="9"/>
      <c r="H14" s="9"/>
      <c r="I14" s="9"/>
    </row>
    <row r="15" spans="1:9" ht="15.75" thickBot="1" x14ac:dyDescent="0.3">
      <c r="A15" s="9"/>
      <c r="B15" s="9"/>
      <c r="C15" s="9"/>
      <c r="D15" s="20" t="s">
        <v>42</v>
      </c>
      <c r="E15" s="9"/>
      <c r="F15" s="9"/>
      <c r="G15" s="9"/>
      <c r="H15" s="9"/>
      <c r="I15" s="9"/>
    </row>
    <row r="16" spans="1:9" ht="15.75" thickBot="1" x14ac:dyDescent="0.3">
      <c r="A16" s="28" t="s">
        <v>3</v>
      </c>
      <c r="B16" s="33"/>
      <c r="C16" s="33"/>
      <c r="D16" s="28" t="s">
        <v>4</v>
      </c>
      <c r="E16" s="33"/>
      <c r="F16" s="28" t="s">
        <v>3</v>
      </c>
      <c r="G16" s="33"/>
      <c r="H16" s="28" t="s">
        <v>5</v>
      </c>
      <c r="I16" s="33"/>
    </row>
    <row r="17" spans="1:13" ht="15" x14ac:dyDescent="0.25">
      <c r="A17" s="14" t="s">
        <v>180</v>
      </c>
      <c r="B17" s="9"/>
      <c r="C17" s="9"/>
      <c r="D17" s="12"/>
      <c r="E17" s="31" t="s">
        <v>7</v>
      </c>
      <c r="F17" s="12" t="s">
        <v>189</v>
      </c>
    </row>
    <row r="18" spans="1:13" ht="15" x14ac:dyDescent="0.25">
      <c r="A18" s="20" t="s">
        <v>95</v>
      </c>
      <c r="B18" s="9"/>
      <c r="C18" s="9"/>
      <c r="D18" s="100">
        <v>15</v>
      </c>
      <c r="E18" s="31" t="s">
        <v>7</v>
      </c>
      <c r="F18" s="9" t="s">
        <v>191</v>
      </c>
      <c r="G18" s="9"/>
      <c r="I18" s="136">
        <v>100</v>
      </c>
      <c r="J18" s="20"/>
      <c r="K18" s="9"/>
      <c r="L18"/>
    </row>
    <row r="19" spans="1:13" ht="15" x14ac:dyDescent="0.25">
      <c r="A19" s="20" t="s">
        <v>96</v>
      </c>
      <c r="B19" s="9"/>
      <c r="C19" s="9"/>
      <c r="D19" s="100">
        <v>1</v>
      </c>
      <c r="E19" s="31" t="s">
        <v>7</v>
      </c>
      <c r="F19" s="9" t="s">
        <v>192</v>
      </c>
      <c r="G19" s="9"/>
      <c r="H19" s="9"/>
      <c r="I19" s="193">
        <v>0.8</v>
      </c>
      <c r="J19" s="145" t="s">
        <v>193</v>
      </c>
    </row>
    <row r="20" spans="1:13" ht="15" x14ac:dyDescent="0.25">
      <c r="A20" s="20" t="s">
        <v>97</v>
      </c>
      <c r="B20" s="9"/>
      <c r="C20" s="9"/>
      <c r="D20" s="100">
        <v>0</v>
      </c>
      <c r="E20" s="31" t="s">
        <v>7</v>
      </c>
      <c r="F20" s="9" t="s">
        <v>179</v>
      </c>
      <c r="I20" s="195">
        <f>+I18-(I19*100)</f>
        <v>20</v>
      </c>
      <c r="J20" s="255" t="s">
        <v>185</v>
      </c>
      <c r="K20" s="256"/>
      <c r="L20" s="256"/>
      <c r="M20" s="256"/>
    </row>
    <row r="21" spans="1:13" ht="15" x14ac:dyDescent="0.25">
      <c r="A21" s="88" t="s">
        <v>163</v>
      </c>
      <c r="B21" s="58"/>
      <c r="C21" s="58"/>
      <c r="D21" s="101">
        <v>40</v>
      </c>
      <c r="E21" s="31" t="s">
        <v>7</v>
      </c>
      <c r="F21" s="9" t="s">
        <v>194</v>
      </c>
      <c r="I21" s="74">
        <v>1200</v>
      </c>
      <c r="J21" s="256"/>
      <c r="K21" s="256"/>
      <c r="L21" s="256"/>
      <c r="M21" s="256"/>
    </row>
    <row r="22" spans="1:13" ht="15" x14ac:dyDescent="0.25">
      <c r="A22" s="9"/>
      <c r="B22" s="9"/>
      <c r="C22" s="9"/>
      <c r="D22" s="9"/>
      <c r="E22" s="31" t="s">
        <v>7</v>
      </c>
      <c r="F22" s="9" t="s">
        <v>170</v>
      </c>
      <c r="G22" s="9"/>
      <c r="I22" s="136">
        <v>2</v>
      </c>
    </row>
    <row r="23" spans="1:13" ht="15" x14ac:dyDescent="0.25">
      <c r="A23" s="14" t="s">
        <v>186</v>
      </c>
      <c r="B23" s="9"/>
      <c r="C23" s="9"/>
      <c r="D23" s="9"/>
      <c r="E23" s="31" t="s">
        <v>7</v>
      </c>
      <c r="F23" s="20" t="s">
        <v>171</v>
      </c>
      <c r="G23" s="9"/>
      <c r="I23" s="137">
        <v>5000</v>
      </c>
      <c r="J23" s="124">
        <f>+D29*30</f>
        <v>210</v>
      </c>
      <c r="K23" s="58" t="s">
        <v>159</v>
      </c>
    </row>
    <row r="24" spans="1:13" ht="15" x14ac:dyDescent="0.25">
      <c r="A24" s="20" t="s">
        <v>112</v>
      </c>
      <c r="B24" s="9"/>
      <c r="C24" s="9"/>
      <c r="D24" s="118">
        <v>6</v>
      </c>
      <c r="E24" s="31" t="s">
        <v>7</v>
      </c>
      <c r="J24" s="124">
        <f>+D30*30</f>
        <v>150</v>
      </c>
      <c r="K24" s="58" t="s">
        <v>162</v>
      </c>
    </row>
    <row r="25" spans="1:13" ht="15" x14ac:dyDescent="0.25">
      <c r="A25" s="20" t="s">
        <v>113</v>
      </c>
      <c r="B25" s="9"/>
      <c r="C25" s="9"/>
      <c r="D25" s="76">
        <v>15</v>
      </c>
      <c r="E25" s="31" t="s">
        <v>7</v>
      </c>
      <c r="F25" s="9"/>
      <c r="G25" s="9"/>
      <c r="H25" s="9"/>
      <c r="I25" s="9"/>
    </row>
    <row r="26" spans="1:13" ht="15.75" thickBot="1" x14ac:dyDescent="0.3">
      <c r="A26" s="20" t="s">
        <v>114</v>
      </c>
      <c r="B26" s="9"/>
      <c r="C26" s="9"/>
      <c r="D26" s="76">
        <v>100</v>
      </c>
      <c r="E26" s="31" t="s">
        <v>7</v>
      </c>
      <c r="F26" s="12" t="s">
        <v>167</v>
      </c>
      <c r="G26" s="9"/>
      <c r="H26" s="9"/>
      <c r="I26" s="9"/>
    </row>
    <row r="27" spans="1:13" ht="16.5" customHeight="1" thickTop="1" thickBot="1" x14ac:dyDescent="0.3">
      <c r="A27" s="2" t="s">
        <v>360</v>
      </c>
      <c r="D27" s="74">
        <v>950</v>
      </c>
      <c r="E27" s="31" t="s">
        <v>7</v>
      </c>
      <c r="F27" s="9" t="s">
        <v>182</v>
      </c>
      <c r="G27" s="9"/>
      <c r="H27" s="9"/>
      <c r="I27" s="93">
        <v>0</v>
      </c>
      <c r="J27" s="250" t="s">
        <v>183</v>
      </c>
      <c r="K27" s="250"/>
      <c r="L27" s="250"/>
      <c r="M27" s="250"/>
    </row>
    <row r="28" spans="1:13" ht="15.75" thickTop="1" x14ac:dyDescent="0.25">
      <c r="E28" s="31" t="s">
        <v>7</v>
      </c>
      <c r="F28" s="9" t="s">
        <v>168</v>
      </c>
      <c r="G28" s="9"/>
      <c r="H28" s="9"/>
      <c r="I28" s="75">
        <v>40</v>
      </c>
      <c r="J28" s="250"/>
      <c r="K28" s="250"/>
      <c r="L28" s="250"/>
      <c r="M28" s="250"/>
    </row>
    <row r="29" spans="1:13" ht="15.75" thickBot="1" x14ac:dyDescent="0.3">
      <c r="A29" s="20" t="s">
        <v>157</v>
      </c>
      <c r="B29" s="9"/>
      <c r="C29" s="9"/>
      <c r="D29" s="98">
        <v>7</v>
      </c>
      <c r="E29" s="31" t="s">
        <v>7</v>
      </c>
      <c r="F29" s="9" t="s">
        <v>144</v>
      </c>
      <c r="G29" s="9"/>
      <c r="H29" s="9"/>
      <c r="I29" s="74">
        <v>2.69</v>
      </c>
      <c r="J29" s="250"/>
      <c r="K29" s="250"/>
      <c r="L29" s="250"/>
      <c r="M29" s="250"/>
    </row>
    <row r="30" spans="1:13" ht="16.5" thickTop="1" thickBot="1" x14ac:dyDescent="0.3">
      <c r="A30" s="9" t="s">
        <v>158</v>
      </c>
      <c r="B30" s="9"/>
      <c r="C30" s="9"/>
      <c r="D30" s="140">
        <v>5</v>
      </c>
      <c r="E30" s="31" t="s">
        <v>7</v>
      </c>
      <c r="F30" s="9" t="s">
        <v>146</v>
      </c>
      <c r="G30" s="9"/>
      <c r="H30" s="9"/>
      <c r="I30" s="94">
        <v>5</v>
      </c>
    </row>
    <row r="31" spans="1:13" ht="15.75" thickTop="1" x14ac:dyDescent="0.25">
      <c r="A31" s="120"/>
      <c r="B31" s="120"/>
      <c r="C31" s="120"/>
      <c r="D31" s="120"/>
      <c r="E31" s="97" t="s">
        <v>7</v>
      </c>
      <c r="F31" s="15" t="s">
        <v>152</v>
      </c>
      <c r="G31" s="15"/>
      <c r="H31" s="15"/>
      <c r="I31" s="95">
        <v>10</v>
      </c>
    </row>
    <row r="32" spans="1:13" ht="15.75" customHeight="1" x14ac:dyDescent="0.25">
      <c r="E32" s="9"/>
    </row>
    <row r="33" spans="1:13" ht="15" x14ac:dyDescent="0.25">
      <c r="A33" s="12" t="s">
        <v>195</v>
      </c>
      <c r="E33" s="20"/>
      <c r="F33" s="9"/>
      <c r="G33" s="257" t="s">
        <v>197</v>
      </c>
      <c r="H33" s="9"/>
      <c r="I33" s="9"/>
    </row>
    <row r="34" spans="1:13" ht="15" x14ac:dyDescent="0.25">
      <c r="A34" s="12" t="s">
        <v>82</v>
      </c>
      <c r="B34" s="9"/>
      <c r="C34" s="9"/>
      <c r="D34" s="31"/>
      <c r="E34" s="58"/>
      <c r="F34" s="247" t="s">
        <v>155</v>
      </c>
      <c r="G34" s="257"/>
      <c r="H34" s="247" t="s">
        <v>160</v>
      </c>
      <c r="I34" s="9"/>
    </row>
    <row r="35" spans="1:13" ht="15" x14ac:dyDescent="0.25">
      <c r="A35" s="9"/>
      <c r="B35" s="15" t="s">
        <v>83</v>
      </c>
      <c r="C35" s="15"/>
      <c r="D35" s="15"/>
      <c r="E35" s="15"/>
      <c r="F35" s="248"/>
      <c r="G35" s="248"/>
      <c r="H35" s="248"/>
      <c r="I35" s="15" t="s">
        <v>89</v>
      </c>
    </row>
    <row r="36" spans="1:13" ht="15" customHeight="1" x14ac:dyDescent="0.25">
      <c r="A36" s="9"/>
      <c r="B36" s="107" t="str">
        <f>+'Step 1 - Feed Cost Input Sheet '!A21</f>
        <v>Limestone</v>
      </c>
      <c r="C36" s="9"/>
      <c r="D36" s="9"/>
      <c r="E36" s="9"/>
      <c r="F36" s="64">
        <v>0</v>
      </c>
      <c r="G36" s="9">
        <f>+(F36/100)*$J$23</f>
        <v>0</v>
      </c>
      <c r="H36" s="117">
        <f>+'Step 1 - Feed Cost Input Sheet '!B21</f>
        <v>10</v>
      </c>
      <c r="I36" s="9" t="s">
        <v>84</v>
      </c>
      <c r="J36" s="194"/>
      <c r="K36" s="194"/>
      <c r="L36" s="194"/>
      <c r="M36" s="194"/>
    </row>
    <row r="37" spans="1:13" ht="15" x14ac:dyDescent="0.25">
      <c r="A37" s="9"/>
      <c r="B37" s="107" t="str">
        <f>+'Step 1 - Feed Cost Input Sheet '!A22</f>
        <v>Mineral &amp; Salt</v>
      </c>
      <c r="C37" s="9"/>
      <c r="D37" s="9"/>
      <c r="E37" s="9"/>
      <c r="F37" s="64">
        <v>0.12</v>
      </c>
      <c r="G37" s="9">
        <f>+(F37/100)*$J$23</f>
        <v>0.252</v>
      </c>
      <c r="H37" s="117">
        <f>+'Step 1 - Feed Cost Input Sheet '!B22</f>
        <v>22</v>
      </c>
      <c r="I37" s="9" t="s">
        <v>84</v>
      </c>
      <c r="J37" s="194"/>
      <c r="K37" s="194"/>
      <c r="L37" s="194"/>
      <c r="M37" s="194"/>
    </row>
    <row r="38" spans="1:13" ht="15" x14ac:dyDescent="0.25">
      <c r="A38" s="9"/>
      <c r="B38" s="107" t="str">
        <f>+'Step 1 - Feed Cost Input Sheet '!A23</f>
        <v>Dry Corn</v>
      </c>
      <c r="C38" s="9"/>
      <c r="D38" s="9"/>
      <c r="E38" s="9"/>
      <c r="F38" s="64">
        <v>0</v>
      </c>
      <c r="G38" s="9">
        <f>+(F38/56)*$J$23</f>
        <v>0</v>
      </c>
      <c r="H38" s="117">
        <f>+'Step 1 - Feed Cost Input Sheet '!B23</f>
        <v>3.27</v>
      </c>
      <c r="I38" s="9" t="s">
        <v>85</v>
      </c>
      <c r="J38" s="194"/>
      <c r="K38" s="194"/>
      <c r="L38" s="194"/>
      <c r="M38" s="194"/>
    </row>
    <row r="39" spans="1:13" ht="15" x14ac:dyDescent="0.25">
      <c r="A39" s="9"/>
      <c r="B39" s="107" t="str">
        <f>+'Step 1 - Feed Cost Input Sheet '!A24</f>
        <v>High Moisture Corn</v>
      </c>
      <c r="C39" s="9"/>
      <c r="D39" s="9"/>
      <c r="E39" s="9"/>
      <c r="F39" s="64">
        <v>0</v>
      </c>
      <c r="G39" s="9">
        <f>+(F39/56)*$J$23</f>
        <v>0</v>
      </c>
      <c r="H39" s="117">
        <f>+'Step 1 - Feed Cost Input Sheet '!B24</f>
        <v>2.27</v>
      </c>
      <c r="I39" s="9" t="s">
        <v>85</v>
      </c>
      <c r="J39" s="194"/>
      <c r="K39" s="194"/>
      <c r="L39" s="194"/>
      <c r="M39" s="194"/>
    </row>
    <row r="40" spans="1:13" ht="15" customHeight="1" x14ac:dyDescent="0.25">
      <c r="A40" s="9"/>
      <c r="B40" s="107" t="str">
        <f>+'Step 1 - Feed Cost Input Sheet '!A25</f>
        <v>Hay</v>
      </c>
      <c r="C40" s="9"/>
      <c r="D40" s="9"/>
      <c r="E40" s="9"/>
      <c r="F40" s="64">
        <v>6</v>
      </c>
      <c r="G40" s="9">
        <f>+(F40/2000)*$J$23</f>
        <v>0.63</v>
      </c>
      <c r="H40" s="117">
        <f>+'Step 1 - Feed Cost Input Sheet '!B25</f>
        <v>90</v>
      </c>
      <c r="I40" s="9" t="s">
        <v>86</v>
      </c>
      <c r="J40" s="194"/>
      <c r="K40" s="194"/>
      <c r="L40" s="194"/>
      <c r="M40" s="194"/>
    </row>
    <row r="41" spans="1:13" ht="15" x14ac:dyDescent="0.25">
      <c r="A41" s="9"/>
      <c r="B41" s="107" t="str">
        <f>+'Step 1 - Feed Cost Input Sheet '!A26</f>
        <v>Alfalfa</v>
      </c>
      <c r="C41" s="9"/>
      <c r="D41" s="9"/>
      <c r="E41" s="9"/>
      <c r="F41" s="64">
        <v>0</v>
      </c>
      <c r="G41" s="9">
        <f>+(F41/2000)*$J$23</f>
        <v>0</v>
      </c>
      <c r="H41" s="117">
        <f>+'Step 1 - Feed Cost Input Sheet '!B26</f>
        <v>100</v>
      </c>
      <c r="I41" s="9" t="s">
        <v>86</v>
      </c>
      <c r="J41" s="194"/>
      <c r="K41" s="194"/>
      <c r="L41" s="194"/>
      <c r="M41" s="194"/>
    </row>
    <row r="42" spans="1:13" ht="15" x14ac:dyDescent="0.25">
      <c r="A42" s="9"/>
      <c r="B42" s="107" t="str">
        <f>+'Step 1 - Feed Cost Input Sheet '!A27</f>
        <v>Silage</v>
      </c>
      <c r="C42" s="9"/>
      <c r="D42" s="9"/>
      <c r="E42" s="9"/>
      <c r="F42" s="64">
        <v>24</v>
      </c>
      <c r="G42" s="9">
        <f>+(F42/2000)*$J$23</f>
        <v>2.52</v>
      </c>
      <c r="H42" s="117">
        <f>+'Step 1 - Feed Cost Input Sheet '!B27</f>
        <v>32</v>
      </c>
      <c r="I42" s="9" t="s">
        <v>86</v>
      </c>
      <c r="J42" s="194"/>
      <c r="K42" s="194"/>
      <c r="L42" s="194"/>
      <c r="M42" s="194"/>
    </row>
    <row r="43" spans="1:13" ht="15" x14ac:dyDescent="0.25">
      <c r="A43" s="9"/>
      <c r="B43" s="107" t="str">
        <f>+'Step 1 - Feed Cost Input Sheet '!A28</f>
        <v>Corn Stover</v>
      </c>
      <c r="C43" s="9"/>
      <c r="D43" s="9"/>
      <c r="E43" s="9"/>
      <c r="F43" s="64">
        <v>12</v>
      </c>
      <c r="G43" s="9">
        <f>+(F43/2000)*$J$23</f>
        <v>1.26</v>
      </c>
      <c r="H43" s="117">
        <f>+'Step 1 - Feed Cost Input Sheet '!B28</f>
        <v>55</v>
      </c>
      <c r="I43" s="9" t="s">
        <v>86</v>
      </c>
      <c r="J43" s="194"/>
      <c r="K43" s="194"/>
      <c r="L43" s="194"/>
      <c r="M43" s="194"/>
    </row>
    <row r="44" spans="1:13" ht="15" x14ac:dyDescent="0.25">
      <c r="A44" s="9"/>
      <c r="B44" s="107" t="str">
        <f>+'Step 1 - Feed Cost Input Sheet '!A29</f>
        <v>Modified Distillers</v>
      </c>
      <c r="C44" s="9"/>
      <c r="D44" s="9"/>
      <c r="E44" s="58"/>
      <c r="F44" s="64">
        <v>0</v>
      </c>
      <c r="G44" s="9">
        <f>+(F44/2000)*$J$23</f>
        <v>0</v>
      </c>
      <c r="H44" s="117">
        <f>+'Step 1 - Feed Cost Input Sheet '!B29</f>
        <v>125</v>
      </c>
      <c r="I44" s="9" t="s">
        <v>86</v>
      </c>
      <c r="J44" s="194"/>
      <c r="K44" s="194"/>
      <c r="L44" s="194"/>
      <c r="M44" s="194"/>
    </row>
    <row r="45" spans="1:13" s="123" customFormat="1" ht="15" x14ac:dyDescent="0.25">
      <c r="A45" s="15"/>
      <c r="B45" s="171" t="str">
        <f>+'Step 1 - Feed Cost Input Sheet '!A30</f>
        <v>Pasture</v>
      </c>
      <c r="C45" s="15"/>
      <c r="D45" s="96"/>
      <c r="E45" s="121"/>
      <c r="F45" s="202"/>
      <c r="G45" s="203">
        <f>+D30</f>
        <v>5</v>
      </c>
      <c r="H45" s="172">
        <f>+'Step 1 - Feed Cost Input Sheet '!B30</f>
        <v>45</v>
      </c>
      <c r="I45" s="15" t="s">
        <v>119</v>
      </c>
    </row>
    <row r="46" spans="1:13" s="123" customFormat="1" ht="15" x14ac:dyDescent="0.25">
      <c r="A46" s="58"/>
      <c r="B46" s="146"/>
      <c r="C46" s="58"/>
      <c r="D46" s="88"/>
      <c r="E46" s="62"/>
      <c r="F46" s="62"/>
      <c r="G46" s="148"/>
      <c r="H46" s="147"/>
      <c r="I46" s="58"/>
    </row>
    <row r="47" spans="1:13" s="123" customFormat="1" ht="15" customHeight="1" x14ac:dyDescent="0.25">
      <c r="A47" s="30" t="s">
        <v>196</v>
      </c>
      <c r="B47" s="146"/>
      <c r="C47" s="58"/>
      <c r="D47" s="88"/>
      <c r="E47" s="62"/>
      <c r="F47" s="247" t="s">
        <v>155</v>
      </c>
      <c r="G47" s="262" t="s">
        <v>197</v>
      </c>
      <c r="H47" s="247" t="s">
        <v>160</v>
      </c>
      <c r="I47" s="58"/>
    </row>
    <row r="48" spans="1:13" s="123" customFormat="1" ht="15" customHeight="1" x14ac:dyDescent="0.25">
      <c r="A48" s="58"/>
      <c r="B48" s="146"/>
      <c r="C48" s="58"/>
      <c r="D48" s="88"/>
      <c r="E48" s="62"/>
      <c r="F48" s="248"/>
      <c r="G48" s="263"/>
      <c r="H48" s="248"/>
      <c r="I48" s="15" t="s">
        <v>89</v>
      </c>
    </row>
    <row r="49" spans="1:9" s="123" customFormat="1" ht="15" x14ac:dyDescent="0.25">
      <c r="A49" s="58"/>
      <c r="B49" s="107" t="str">
        <f>+'Step 1 - Feed Cost Input Sheet '!A21</f>
        <v>Limestone</v>
      </c>
      <c r="C49" s="9"/>
      <c r="D49" s="9"/>
      <c r="E49" s="9"/>
      <c r="F49" s="64">
        <v>0</v>
      </c>
      <c r="G49" s="9">
        <f>+(F49/100)*$J$23</f>
        <v>0</v>
      </c>
      <c r="H49" s="117">
        <f>+'Step 1 - Feed Cost Input Sheet '!B21</f>
        <v>10</v>
      </c>
      <c r="I49" s="9" t="s">
        <v>84</v>
      </c>
    </row>
    <row r="50" spans="1:9" s="123" customFormat="1" ht="15" x14ac:dyDescent="0.25">
      <c r="A50" s="58"/>
      <c r="B50" s="107" t="str">
        <f>+'Step 1 - Feed Cost Input Sheet '!A22</f>
        <v>Mineral &amp; Salt</v>
      </c>
      <c r="C50" s="9"/>
      <c r="D50" s="9"/>
      <c r="E50" s="9"/>
      <c r="F50" s="64">
        <v>0.12</v>
      </c>
      <c r="G50" s="9">
        <f>+(F50/100)*$J$23</f>
        <v>0.252</v>
      </c>
      <c r="H50" s="117">
        <f>+'Step 1 - Feed Cost Input Sheet '!B22</f>
        <v>22</v>
      </c>
      <c r="I50" s="9" t="s">
        <v>84</v>
      </c>
    </row>
    <row r="51" spans="1:9" s="123" customFormat="1" ht="15" x14ac:dyDescent="0.25">
      <c r="A51" s="58"/>
      <c r="B51" s="107" t="str">
        <f>+'Step 1 - Feed Cost Input Sheet '!A23</f>
        <v>Dry Corn</v>
      </c>
      <c r="C51" s="9"/>
      <c r="D51" s="9"/>
      <c r="E51" s="9"/>
      <c r="F51" s="64">
        <v>0</v>
      </c>
      <c r="G51" s="9">
        <f>+(F51/56)*$J$23</f>
        <v>0</v>
      </c>
      <c r="H51" s="117">
        <f>+'Step 1 - Feed Cost Input Sheet '!B23</f>
        <v>3.27</v>
      </c>
      <c r="I51" s="9" t="s">
        <v>85</v>
      </c>
    </row>
    <row r="52" spans="1:9" s="123" customFormat="1" ht="15" x14ac:dyDescent="0.25">
      <c r="A52" s="58"/>
      <c r="B52" s="107" t="str">
        <f>+'Step 1 - Feed Cost Input Sheet '!A24</f>
        <v>High Moisture Corn</v>
      </c>
      <c r="C52" s="9"/>
      <c r="D52" s="9"/>
      <c r="E52" s="9"/>
      <c r="F52" s="64">
        <v>0</v>
      </c>
      <c r="G52" s="9">
        <f>+(F52/56)*$J$23</f>
        <v>0</v>
      </c>
      <c r="H52" s="117">
        <f>+'Step 1 - Feed Cost Input Sheet '!B24</f>
        <v>2.27</v>
      </c>
      <c r="I52" s="9" t="s">
        <v>85</v>
      </c>
    </row>
    <row r="53" spans="1:9" s="123" customFormat="1" ht="15" x14ac:dyDescent="0.25">
      <c r="A53" s="58"/>
      <c r="B53" s="107" t="str">
        <f>+'Step 1 - Feed Cost Input Sheet '!A25</f>
        <v>Hay</v>
      </c>
      <c r="C53" s="9"/>
      <c r="D53" s="9"/>
      <c r="E53" s="9"/>
      <c r="F53" s="64">
        <v>6</v>
      </c>
      <c r="G53" s="9">
        <f>+(F53/2000)*$J$23</f>
        <v>0.63</v>
      </c>
      <c r="H53" s="117">
        <f>+'Step 1 - Feed Cost Input Sheet '!B25</f>
        <v>90</v>
      </c>
      <c r="I53" s="9" t="s">
        <v>86</v>
      </c>
    </row>
    <row r="54" spans="1:9" s="123" customFormat="1" ht="15" x14ac:dyDescent="0.25">
      <c r="A54" s="58"/>
      <c r="B54" s="107" t="str">
        <f>+'Step 1 - Feed Cost Input Sheet '!A26</f>
        <v>Alfalfa</v>
      </c>
      <c r="C54" s="9"/>
      <c r="D54" s="9"/>
      <c r="E54" s="9"/>
      <c r="F54" s="64">
        <v>1</v>
      </c>
      <c r="G54" s="9">
        <f>+(F54/2000)*$J$23</f>
        <v>0.105</v>
      </c>
      <c r="H54" s="117">
        <f>+'Step 1 - Feed Cost Input Sheet '!B26</f>
        <v>100</v>
      </c>
      <c r="I54" s="9" t="s">
        <v>86</v>
      </c>
    </row>
    <row r="55" spans="1:9" s="123" customFormat="1" ht="15" x14ac:dyDescent="0.25">
      <c r="A55" s="58"/>
      <c r="B55" s="107" t="str">
        <f>+'Step 1 - Feed Cost Input Sheet '!A27</f>
        <v>Silage</v>
      </c>
      <c r="C55" s="9"/>
      <c r="D55" s="9"/>
      <c r="E55" s="9"/>
      <c r="F55" s="64">
        <v>0</v>
      </c>
      <c r="G55" s="9">
        <f>+(F55/2000)*$J$23</f>
        <v>0</v>
      </c>
      <c r="H55" s="117">
        <f>+'Step 1 - Feed Cost Input Sheet '!B27</f>
        <v>32</v>
      </c>
      <c r="I55" s="9" t="s">
        <v>86</v>
      </c>
    </row>
    <row r="56" spans="1:9" s="123" customFormat="1" ht="15" x14ac:dyDescent="0.25">
      <c r="A56" s="58"/>
      <c r="B56" s="107" t="str">
        <f>+'Step 1 - Feed Cost Input Sheet '!A28</f>
        <v>Corn Stover</v>
      </c>
      <c r="C56" s="9"/>
      <c r="D56" s="9"/>
      <c r="E56" s="9"/>
      <c r="F56" s="64">
        <v>0</v>
      </c>
      <c r="G56" s="9">
        <f>+(F56/2000)*$J$23</f>
        <v>0</v>
      </c>
      <c r="H56" s="117">
        <f>+'Step 1 - Feed Cost Input Sheet '!B28</f>
        <v>55</v>
      </c>
      <c r="I56" s="9" t="s">
        <v>86</v>
      </c>
    </row>
    <row r="57" spans="1:9" s="123" customFormat="1" ht="15" x14ac:dyDescent="0.25">
      <c r="A57" s="58"/>
      <c r="B57" s="107" t="str">
        <f>+'Step 1 - Feed Cost Input Sheet '!A29</f>
        <v>Modified Distillers</v>
      </c>
      <c r="C57" s="9"/>
      <c r="D57" s="9"/>
      <c r="E57" s="58"/>
      <c r="F57" s="64">
        <v>0</v>
      </c>
      <c r="G57" s="9">
        <f>+(F57/2000)*$J$23</f>
        <v>0</v>
      </c>
      <c r="H57" s="117">
        <f>+'Step 1 - Feed Cost Input Sheet '!B29</f>
        <v>125</v>
      </c>
      <c r="I57" s="9" t="s">
        <v>86</v>
      </c>
    </row>
    <row r="58" spans="1:9" s="123" customFormat="1" ht="15" x14ac:dyDescent="0.25">
      <c r="A58" s="58"/>
      <c r="B58" s="171" t="str">
        <f>+'Step 1 - Feed Cost Input Sheet '!A30</f>
        <v>Pasture</v>
      </c>
      <c r="C58" s="15"/>
      <c r="D58" s="96"/>
      <c r="E58" s="121"/>
      <c r="F58" s="121">
        <f>+D30</f>
        <v>5</v>
      </c>
      <c r="G58" s="108"/>
      <c r="H58" s="172">
        <f>+'Step 1 - Feed Cost Input Sheet '!B30</f>
        <v>45</v>
      </c>
      <c r="I58" s="15" t="s">
        <v>119</v>
      </c>
    </row>
    <row r="59" spans="1:9" s="123" customFormat="1" ht="15" x14ac:dyDescent="0.25">
      <c r="A59" s="189" t="s">
        <v>329</v>
      </c>
      <c r="B59" s="35"/>
      <c r="C59" s="35"/>
      <c r="D59" s="20" t="s">
        <v>74</v>
      </c>
      <c r="E59" s="35"/>
      <c r="F59" s="35"/>
      <c r="G59" s="9"/>
      <c r="H59" s="35"/>
      <c r="I59" s="35"/>
    </row>
    <row r="60" spans="1:9" s="123" customFormat="1" ht="15" x14ac:dyDescent="0.25">
      <c r="A60" s="14" t="s">
        <v>177</v>
      </c>
      <c r="B60" s="35"/>
      <c r="C60" s="35"/>
      <c r="D60" s="35"/>
      <c r="E60" s="35"/>
      <c r="F60" s="35"/>
      <c r="G60" s="35"/>
      <c r="H60" s="35"/>
      <c r="I60" s="35"/>
    </row>
    <row r="61" spans="1:9" s="123" customFormat="1" ht="15" x14ac:dyDescent="0.25">
      <c r="A61" s="35"/>
      <c r="B61"/>
      <c r="C61" s="20" t="str">
        <f t="shared" ref="C61:C70" si="0">+B36</f>
        <v>Limestone</v>
      </c>
      <c r="D61" s="35"/>
      <c r="E61" s="144">
        <f t="shared" ref="E61:E69" si="1">+G36+G49</f>
        <v>0</v>
      </c>
      <c r="F61" s="144" t="s">
        <v>18</v>
      </c>
      <c r="G61" s="59">
        <f t="shared" ref="G61:G70" si="2">+H36</f>
        <v>10</v>
      </c>
      <c r="H61" s="59">
        <f t="shared" ref="H61:H70" si="3">+E61*G61</f>
        <v>0</v>
      </c>
      <c r="I61"/>
    </row>
    <row r="62" spans="1:9" s="123" customFormat="1" ht="15" x14ac:dyDescent="0.25">
      <c r="A62" s="35"/>
      <c r="B62" s="35"/>
      <c r="C62" s="20" t="str">
        <f t="shared" si="0"/>
        <v>Mineral &amp; Salt</v>
      </c>
      <c r="D62" s="35"/>
      <c r="E62" s="144">
        <f t="shared" si="1"/>
        <v>0.504</v>
      </c>
      <c r="F62" s="144" t="s">
        <v>18</v>
      </c>
      <c r="G62" s="59">
        <f t="shared" si="2"/>
        <v>22</v>
      </c>
      <c r="H62" s="59">
        <f t="shared" si="3"/>
        <v>11.088000000000001</v>
      </c>
      <c r="I62" s="25"/>
    </row>
    <row r="63" spans="1:9" s="123" customFormat="1" ht="15" x14ac:dyDescent="0.25">
      <c r="A63" s="35"/>
      <c r="B63" s="35"/>
      <c r="C63" s="35" t="str">
        <f t="shared" si="0"/>
        <v>Dry Corn</v>
      </c>
      <c r="D63" s="35"/>
      <c r="E63" s="144">
        <f t="shared" si="1"/>
        <v>0</v>
      </c>
      <c r="F63" s="144" t="s">
        <v>54</v>
      </c>
      <c r="G63" s="59">
        <f t="shared" si="2"/>
        <v>3.27</v>
      </c>
      <c r="H63" s="59">
        <f t="shared" si="3"/>
        <v>0</v>
      </c>
      <c r="I63" s="25"/>
    </row>
    <row r="64" spans="1:9" s="123" customFormat="1" ht="15" x14ac:dyDescent="0.25">
      <c r="A64" s="35"/>
      <c r="B64" s="35"/>
      <c r="C64" s="35" t="str">
        <f t="shared" si="0"/>
        <v>High Moisture Corn</v>
      </c>
      <c r="D64" s="35"/>
      <c r="E64" s="144">
        <f t="shared" si="1"/>
        <v>0</v>
      </c>
      <c r="F64" s="144" t="s">
        <v>54</v>
      </c>
      <c r="G64" s="59">
        <f t="shared" si="2"/>
        <v>2.27</v>
      </c>
      <c r="H64" s="59">
        <f t="shared" si="3"/>
        <v>0</v>
      </c>
      <c r="I64" s="35"/>
    </row>
    <row r="65" spans="1:20" s="123" customFormat="1" ht="15" x14ac:dyDescent="0.25">
      <c r="A65" s="35"/>
      <c r="B65" s="35"/>
      <c r="C65" s="35" t="str">
        <f t="shared" si="0"/>
        <v>Hay</v>
      </c>
      <c r="D65" s="35"/>
      <c r="E65" s="144">
        <f t="shared" si="1"/>
        <v>1.26</v>
      </c>
      <c r="F65" s="144" t="s">
        <v>55</v>
      </c>
      <c r="G65" s="59">
        <f t="shared" si="2"/>
        <v>90</v>
      </c>
      <c r="H65" s="59">
        <f t="shared" si="3"/>
        <v>113.4</v>
      </c>
      <c r="I65" s="35"/>
    </row>
    <row r="66" spans="1:20" s="123" customFormat="1" ht="15" x14ac:dyDescent="0.25">
      <c r="A66" s="35"/>
      <c r="B66" s="35"/>
      <c r="C66" s="35" t="str">
        <f t="shared" si="0"/>
        <v>Alfalfa</v>
      </c>
      <c r="D66" s="35"/>
      <c r="E66" s="169">
        <f t="shared" si="1"/>
        <v>0.105</v>
      </c>
      <c r="F66" s="144" t="s">
        <v>55</v>
      </c>
      <c r="G66" s="59">
        <f t="shared" si="2"/>
        <v>100</v>
      </c>
      <c r="H66" s="59">
        <f t="shared" si="3"/>
        <v>10.5</v>
      </c>
      <c r="I66" s="35"/>
    </row>
    <row r="67" spans="1:20" s="123" customFormat="1" ht="15" x14ac:dyDescent="0.25">
      <c r="A67" s="35"/>
      <c r="B67" s="35"/>
      <c r="C67" s="35" t="str">
        <f t="shared" si="0"/>
        <v>Silage</v>
      </c>
      <c r="D67" s="35"/>
      <c r="E67" s="144">
        <f t="shared" si="1"/>
        <v>2.52</v>
      </c>
      <c r="F67" s="144" t="s">
        <v>55</v>
      </c>
      <c r="G67" s="59">
        <f t="shared" si="2"/>
        <v>32</v>
      </c>
      <c r="H67" s="59">
        <f t="shared" si="3"/>
        <v>80.64</v>
      </c>
      <c r="I67" s="35"/>
    </row>
    <row r="68" spans="1:20" s="123" customFormat="1" ht="15" x14ac:dyDescent="0.25">
      <c r="A68" s="35"/>
      <c r="B68" s="35"/>
      <c r="C68" s="20" t="str">
        <f t="shared" si="0"/>
        <v>Corn Stover</v>
      </c>
      <c r="D68" s="35"/>
      <c r="E68" s="144">
        <f t="shared" si="1"/>
        <v>1.26</v>
      </c>
      <c r="F68" s="144" t="s">
        <v>55</v>
      </c>
      <c r="G68" s="59">
        <f t="shared" si="2"/>
        <v>55</v>
      </c>
      <c r="H68" s="59">
        <f t="shared" si="3"/>
        <v>69.3</v>
      </c>
      <c r="I68" s="35"/>
    </row>
    <row r="69" spans="1:20" s="123" customFormat="1" ht="15" x14ac:dyDescent="0.25">
      <c r="A69" s="35"/>
      <c r="B69" s="35"/>
      <c r="C69" s="20" t="str">
        <f t="shared" si="0"/>
        <v>Modified Distillers</v>
      </c>
      <c r="D69" s="35"/>
      <c r="E69" s="144">
        <f t="shared" si="1"/>
        <v>0</v>
      </c>
      <c r="F69" s="144" t="s">
        <v>55</v>
      </c>
      <c r="G69" s="59">
        <f t="shared" si="2"/>
        <v>125</v>
      </c>
      <c r="H69" s="59">
        <f t="shared" si="3"/>
        <v>0</v>
      </c>
      <c r="I69" s="25"/>
    </row>
    <row r="70" spans="1:20" s="123" customFormat="1" ht="15" x14ac:dyDescent="0.25">
      <c r="A70" s="35"/>
      <c r="B70" s="35"/>
      <c r="C70" s="20" t="str">
        <f t="shared" si="0"/>
        <v>Pasture</v>
      </c>
      <c r="D70" s="35"/>
      <c r="E70" s="144">
        <f>+F58</f>
        <v>5</v>
      </c>
      <c r="F70" s="144" t="s">
        <v>130</v>
      </c>
      <c r="G70" s="59">
        <f t="shared" si="2"/>
        <v>45</v>
      </c>
      <c r="H70" s="59">
        <f t="shared" si="3"/>
        <v>225</v>
      </c>
      <c r="I70" s="25"/>
    </row>
    <row r="71" spans="1:20" s="123" customFormat="1" ht="15" x14ac:dyDescent="0.25">
      <c r="A71" s="35"/>
      <c r="B71" s="20" t="s">
        <v>117</v>
      </c>
      <c r="C71"/>
      <c r="D71"/>
      <c r="E71"/>
      <c r="F71"/>
      <c r="G71"/>
      <c r="H71"/>
      <c r="I71" s="25">
        <f>+SUM(H61:H70)</f>
        <v>509.928</v>
      </c>
    </row>
    <row r="72" spans="1:20" s="123" customFormat="1" ht="15" x14ac:dyDescent="0.25">
      <c r="A72" s="35"/>
      <c r="B72" s="20" t="s">
        <v>19</v>
      </c>
      <c r="C72" s="35"/>
      <c r="D72" s="35"/>
      <c r="E72" s="35"/>
      <c r="F72" s="35"/>
      <c r="G72" s="35"/>
      <c r="H72" s="35"/>
      <c r="I72" s="25">
        <f>D18</f>
        <v>15</v>
      </c>
    </row>
    <row r="73" spans="1:20" s="123" customFormat="1" ht="15" x14ac:dyDescent="0.25">
      <c r="A73" s="35"/>
      <c r="B73" s="20" t="s">
        <v>20</v>
      </c>
      <c r="C73" s="35"/>
      <c r="D73" s="35"/>
      <c r="E73" s="35"/>
      <c r="F73" s="35"/>
      <c r="G73" s="35"/>
      <c r="H73" s="35"/>
      <c r="I73" s="25">
        <f>D19</f>
        <v>1</v>
      </c>
    </row>
    <row r="74" spans="1:20" s="123" customFormat="1" ht="15" x14ac:dyDescent="0.25">
      <c r="A74" s="35"/>
      <c r="B74" s="20" t="s">
        <v>21</v>
      </c>
      <c r="C74" s="35"/>
      <c r="D74" s="35"/>
      <c r="E74" s="35"/>
      <c r="F74" s="35"/>
      <c r="G74" s="35"/>
      <c r="H74" s="35"/>
      <c r="I74" s="45">
        <f>D20</f>
        <v>0</v>
      </c>
    </row>
    <row r="75" spans="1:20" s="123" customFormat="1" ht="15" x14ac:dyDescent="0.25">
      <c r="A75" s="35"/>
      <c r="B75" s="20" t="s">
        <v>151</v>
      </c>
      <c r="C75" s="35"/>
      <c r="D75" s="35"/>
      <c r="E75" s="35"/>
      <c r="F75" s="35"/>
      <c r="G75" s="35"/>
      <c r="H75" s="35"/>
      <c r="I75" s="71">
        <f>+IF(I27=0,(I28/I30*I29/I31),(I27*I28/I31))</f>
        <v>2.1520000000000001</v>
      </c>
    </row>
    <row r="76" spans="1:20" s="123" customFormat="1" ht="15" x14ac:dyDescent="0.25">
      <c r="A76" s="35"/>
      <c r="B76" s="88" t="s">
        <v>163</v>
      </c>
      <c r="C76" s="35"/>
      <c r="D76" s="35"/>
      <c r="E76" s="35"/>
      <c r="F76" s="35"/>
      <c r="G76" s="35"/>
      <c r="H76" s="35"/>
      <c r="I76" s="105">
        <f>+D21</f>
        <v>40</v>
      </c>
    </row>
    <row r="77" spans="1:20" s="123" customFormat="1" ht="15" x14ac:dyDescent="0.25">
      <c r="A77" s="35"/>
      <c r="B77" s="20" t="s">
        <v>17</v>
      </c>
      <c r="C77" s="35"/>
      <c r="D77" s="14" t="s">
        <v>22</v>
      </c>
      <c r="E77" s="35"/>
      <c r="F77" s="35"/>
      <c r="G77" s="35"/>
      <c r="H77" s="35"/>
      <c r="I77" s="106">
        <f>SUM(I71:I76)</f>
        <v>568.08000000000004</v>
      </c>
    </row>
    <row r="78" spans="1:20" s="123" customFormat="1" ht="15" x14ac:dyDescent="0.25">
      <c r="A78" s="35"/>
      <c r="B78" s="35"/>
      <c r="C78" s="35"/>
      <c r="D78" s="35"/>
      <c r="E78" s="35"/>
      <c r="F78" s="35"/>
      <c r="G78" s="35"/>
      <c r="H78" s="35"/>
      <c r="I78" s="35"/>
    </row>
    <row r="79" spans="1:20" s="123" customFormat="1" ht="15" x14ac:dyDescent="0.25">
      <c r="A79" s="14" t="s">
        <v>178</v>
      </c>
      <c r="B79" s="35"/>
      <c r="C79" s="35"/>
      <c r="D79" s="35"/>
      <c r="E79"/>
      <c r="F79" s="35"/>
      <c r="G79" s="35"/>
      <c r="H79" s="35"/>
      <c r="I79" s="35"/>
      <c r="J79" s="125"/>
      <c r="K79" s="125"/>
      <c r="L79" s="125"/>
      <c r="M79" s="125"/>
      <c r="N79" s="125"/>
      <c r="O79" s="125"/>
      <c r="P79" s="125"/>
      <c r="Q79" s="125"/>
      <c r="R79" s="125"/>
      <c r="S79" s="125"/>
      <c r="T79" s="126"/>
    </row>
    <row r="80" spans="1:20" s="123" customFormat="1" ht="15.75" customHeight="1" x14ac:dyDescent="0.25">
      <c r="A80"/>
      <c r="B80" s="20" t="s">
        <v>172</v>
      </c>
      <c r="C80" s="1"/>
      <c r="D80"/>
      <c r="E80" s="113">
        <f>+I18</f>
        <v>100</v>
      </c>
      <c r="F80" s="235" t="s">
        <v>358</v>
      </c>
      <c r="G80" s="115">
        <f>+I22</f>
        <v>2</v>
      </c>
      <c r="H80" s="9" t="s">
        <v>174</v>
      </c>
      <c r="I80" s="112">
        <f>+(I22*I23)/I18</f>
        <v>100</v>
      </c>
      <c r="J80" s="88"/>
      <c r="K80" s="125"/>
      <c r="L80" s="125"/>
      <c r="M80" s="125"/>
      <c r="N80" s="125"/>
      <c r="O80" s="125"/>
      <c r="P80" s="125"/>
      <c r="Q80" s="125"/>
      <c r="R80" s="125"/>
      <c r="S80" s="125"/>
      <c r="T80" s="126"/>
    </row>
    <row r="81" spans="1:20" s="123" customFormat="1" ht="15" x14ac:dyDescent="0.25">
      <c r="A81"/>
      <c r="B81" s="2" t="s">
        <v>29</v>
      </c>
      <c r="C81" s="1"/>
      <c r="D81" s="1"/>
      <c r="E81" s="114">
        <f>+E80</f>
        <v>100</v>
      </c>
      <c r="F81" s="235" t="s">
        <v>359</v>
      </c>
      <c r="G81" s="116">
        <f>+I20</f>
        <v>20</v>
      </c>
      <c r="H81" s="20" t="s">
        <v>175</v>
      </c>
      <c r="I81" s="71">
        <f>(G81*I19)/E81-(I21/E81)</f>
        <v>-11.84</v>
      </c>
      <c r="J81" s="58"/>
      <c r="R81" s="125"/>
      <c r="S81" s="128"/>
      <c r="T81" s="129"/>
    </row>
    <row r="82" spans="1:20" s="123" customFormat="1" ht="15" x14ac:dyDescent="0.25">
      <c r="A82"/>
      <c r="B82" s="2" t="s">
        <v>31</v>
      </c>
      <c r="C82" s="1"/>
      <c r="D82" s="7"/>
      <c r="E82" s="6"/>
      <c r="F82" s="5"/>
      <c r="G82" s="4"/>
      <c r="H82" s="2"/>
      <c r="I82" s="71">
        <f>+I71</f>
        <v>509.928</v>
      </c>
      <c r="J82" s="125"/>
      <c r="R82" s="125"/>
      <c r="S82" s="128"/>
      <c r="T82" s="129"/>
    </row>
    <row r="83" spans="1:20" s="123" customFormat="1" ht="15" x14ac:dyDescent="0.25">
      <c r="A83"/>
      <c r="B83" s="2" t="s">
        <v>33</v>
      </c>
      <c r="C83" s="1"/>
      <c r="D83" s="7"/>
      <c r="E83" s="6"/>
      <c r="F83" s="5"/>
      <c r="G83" s="4"/>
      <c r="H83" s="2"/>
      <c r="I83" s="119">
        <f>+SUM(I72:I76)</f>
        <v>58.152000000000001</v>
      </c>
      <c r="J83" s="125"/>
      <c r="R83" s="125"/>
      <c r="S83" s="128"/>
      <c r="T83" s="129"/>
    </row>
    <row r="84" spans="1:20" s="123" customFormat="1" ht="15.75" thickBot="1" x14ac:dyDescent="0.3">
      <c r="A84"/>
      <c r="B84" s="20" t="s">
        <v>176</v>
      </c>
      <c r="C84" s="1"/>
      <c r="D84" s="26" t="s">
        <v>181</v>
      </c>
      <c r="E84" s="35"/>
      <c r="F84" s="5"/>
      <c r="G84" s="4"/>
      <c r="H84" s="2"/>
      <c r="I84" s="122">
        <f>(D25+D26+SUM(I80:I83))*(D24/100)</f>
        <v>46.2744</v>
      </c>
      <c r="J84" s="125"/>
      <c r="R84" s="125"/>
      <c r="S84" s="128"/>
      <c r="T84" s="129"/>
    </row>
    <row r="85" spans="1:20" s="123" customFormat="1" ht="15.75" thickTop="1" x14ac:dyDescent="0.25">
      <c r="A85" s="35"/>
      <c r="B85" s="107" t="s">
        <v>341</v>
      </c>
      <c r="C85" s="35"/>
      <c r="D85" s="20"/>
      <c r="E85"/>
      <c r="F85" s="35"/>
      <c r="G85" s="35"/>
      <c r="H85" s="35"/>
      <c r="I85" s="117">
        <f>SUM(I80:I84)</f>
        <v>702.51440000000002</v>
      </c>
      <c r="J85" s="125"/>
      <c r="R85" s="125"/>
      <c r="S85" s="128"/>
      <c r="T85" s="129"/>
    </row>
    <row r="86" spans="1:20" s="123" customFormat="1" ht="15.75" thickBot="1" x14ac:dyDescent="0.3">
      <c r="A86" s="35"/>
      <c r="B86" s="107"/>
      <c r="C86" s="35"/>
      <c r="D86" s="20"/>
      <c r="E86"/>
      <c r="F86" s="35"/>
      <c r="G86" s="35"/>
      <c r="H86" s="35"/>
      <c r="I86" s="117"/>
      <c r="J86" s="125"/>
      <c r="R86" s="125"/>
      <c r="S86" s="128"/>
      <c r="T86" s="129"/>
    </row>
    <row r="87" spans="1:20" s="123" customFormat="1" ht="15.75" thickBot="1" x14ac:dyDescent="0.3">
      <c r="A87" s="107" t="s">
        <v>361</v>
      </c>
      <c r="B87" s="107"/>
      <c r="C87" s="35"/>
      <c r="D87" s="20"/>
      <c r="E87"/>
      <c r="F87" s="35"/>
      <c r="G87" s="35"/>
      <c r="H87" s="35"/>
      <c r="I87" s="236">
        <f>I85+D27</f>
        <v>1652.5144</v>
      </c>
      <c r="J87" s="125"/>
      <c r="R87" s="125"/>
      <c r="S87" s="128"/>
      <c r="T87" s="129"/>
    </row>
    <row r="88" spans="1:20" s="123" customFormat="1" ht="15" x14ac:dyDescent="0.25">
      <c r="A88"/>
      <c r="B88"/>
      <c r="C88"/>
      <c r="D88"/>
      <c r="E88" s="35"/>
      <c r="F88"/>
      <c r="G88"/>
      <c r="H88"/>
      <c r="I88"/>
      <c r="J88" s="125"/>
      <c r="R88" s="125"/>
      <c r="S88" s="128"/>
      <c r="T88" s="129"/>
    </row>
    <row r="89" spans="1:20" s="123" customFormat="1" ht="15" x14ac:dyDescent="0.25">
      <c r="A89" s="14" t="s">
        <v>204</v>
      </c>
      <c r="B89" s="35"/>
      <c r="C89" s="35"/>
      <c r="D89" s="35"/>
      <c r="E89"/>
      <c r="F89" s="35"/>
      <c r="G89" s="35"/>
      <c r="H89" s="35"/>
      <c r="I89" s="35"/>
      <c r="J89" s="125"/>
      <c r="K89" s="125"/>
      <c r="L89" s="125"/>
      <c r="M89" s="125"/>
      <c r="N89" s="125"/>
      <c r="O89" s="125"/>
      <c r="P89" s="125"/>
      <c r="Q89" s="125"/>
      <c r="R89" s="125"/>
      <c r="S89" s="130"/>
      <c r="T89" s="126"/>
    </row>
    <row r="90" spans="1:20" s="123" customFormat="1" ht="15" x14ac:dyDescent="0.25">
      <c r="A90" s="258" t="s">
        <v>164</v>
      </c>
      <c r="B90" s="259"/>
      <c r="C90" s="35"/>
      <c r="D90" s="35"/>
      <c r="E90" s="20" t="s">
        <v>184</v>
      </c>
      <c r="F90" s="35"/>
      <c r="G90" s="35"/>
      <c r="H90" s="35"/>
      <c r="I90" s="35"/>
      <c r="J90" s="125"/>
      <c r="K90" s="125"/>
      <c r="L90" s="125"/>
      <c r="M90" s="127"/>
      <c r="N90" s="125"/>
      <c r="O90" s="125"/>
      <c r="P90" s="125"/>
      <c r="Q90" s="125"/>
      <c r="R90" s="125"/>
      <c r="S90" s="128"/>
      <c r="T90" s="129"/>
    </row>
    <row r="91" spans="1:20" s="123" customFormat="1" ht="15" x14ac:dyDescent="0.25">
      <c r="A91" s="260"/>
      <c r="B91" s="261"/>
      <c r="C91" s="104">
        <f>+D91-1</f>
        <v>44</v>
      </c>
      <c r="D91" s="103">
        <f>+H45</f>
        <v>45</v>
      </c>
      <c r="E91" s="103">
        <f>+D91+1</f>
        <v>46</v>
      </c>
      <c r="F91" s="103">
        <f>+E91+1</f>
        <v>47</v>
      </c>
      <c r="G91" s="103">
        <f t="shared" ref="G91:I91" si="4">+F91+1</f>
        <v>48</v>
      </c>
      <c r="H91" s="103">
        <f t="shared" si="4"/>
        <v>49</v>
      </c>
      <c r="I91" s="103">
        <f t="shared" si="4"/>
        <v>50</v>
      </c>
      <c r="J91" s="88"/>
      <c r="K91" s="62"/>
      <c r="L91" s="131"/>
      <c r="M91" s="132"/>
      <c r="N91" s="133"/>
      <c r="O91" s="45"/>
      <c r="P91" s="88"/>
      <c r="Q91" s="45"/>
    </row>
    <row r="92" spans="1:20" s="123" customFormat="1" ht="15" x14ac:dyDescent="0.25">
      <c r="A92" s="110"/>
      <c r="B92" s="102">
        <f>+H41-10</f>
        <v>90</v>
      </c>
      <c r="C92" s="82">
        <f t="shared" ref="C92:C97" si="5">+SUM($H$61:$H$64)+$H$65+($E$66*B92)+SUM($H$67:$H$69)+($E$70*$C$91)</f>
        <v>503.87799999999999</v>
      </c>
      <c r="D92" s="82">
        <f t="shared" ref="D92:D97" si="6">+SUM($H$61:$H$64)+$H$65+($E$66*B92)+SUM($H$67:$H$69)+$E$70*$D$91</f>
        <v>508.87799999999999</v>
      </c>
      <c r="E92" s="82">
        <f t="shared" ref="E92:E97" si="7">+SUM($H$61:$H$64)+$H$65+($E$66*B92)+SUM($H$67:$H$69)+$E$70*$E$91</f>
        <v>513.87799999999993</v>
      </c>
      <c r="F92" s="82">
        <f t="shared" ref="F92:F97" si="8">+SUM($H$61:$H$64)+$H$65+($E$66*B92)+SUM($H$67:$H$69)+$E$70*$F$91</f>
        <v>518.87799999999993</v>
      </c>
      <c r="G92" s="82">
        <f t="shared" ref="G92:G97" si="9">+SUM($H$61:$H$64)+$H$65+($E$66*B92)+SUM($H$67:$H$69)+$E$70*$G$91</f>
        <v>523.87799999999993</v>
      </c>
      <c r="H92" s="82">
        <f t="shared" ref="H92:H97" si="10">+SUM($H$61:$H$64)+$H$65+($E$66*B92)+SUM($H$67:$H$69)+$E$70*$H$91</f>
        <v>528.87799999999993</v>
      </c>
      <c r="I92" s="82">
        <f t="shared" ref="I92:I97" si="11">+SUM($H$61:$H$64)+$H$65+($E$66*B92)+SUM($H$67:$H$69)+$E$70*$I$91</f>
        <v>533.87799999999993</v>
      </c>
      <c r="J92" s="88"/>
      <c r="K92" s="62"/>
      <c r="L92" s="134"/>
      <c r="M92" s="132"/>
      <c r="N92" s="133"/>
      <c r="O92" s="45"/>
      <c r="P92" s="88"/>
      <c r="Q92" s="45"/>
    </row>
    <row r="93" spans="1:20" s="123" customFormat="1" ht="15" x14ac:dyDescent="0.25">
      <c r="A93" s="62"/>
      <c r="B93" s="102">
        <f>+H41</f>
        <v>100</v>
      </c>
      <c r="C93" s="82">
        <f t="shared" si="5"/>
        <v>504.928</v>
      </c>
      <c r="D93" s="82">
        <f t="shared" si="6"/>
        <v>509.928</v>
      </c>
      <c r="E93" s="82">
        <f t="shared" si="7"/>
        <v>514.928</v>
      </c>
      <c r="F93" s="82">
        <f t="shared" si="8"/>
        <v>519.928</v>
      </c>
      <c r="G93" s="82">
        <f t="shared" si="9"/>
        <v>524.928</v>
      </c>
      <c r="H93" s="82">
        <f t="shared" si="10"/>
        <v>529.928</v>
      </c>
      <c r="I93" s="82">
        <f t="shared" si="11"/>
        <v>534.928</v>
      </c>
      <c r="J93" s="62"/>
      <c r="K93" s="62"/>
      <c r="L93" s="135"/>
      <c r="M93" s="132"/>
      <c r="N93" s="62"/>
      <c r="O93" s="62"/>
      <c r="P93" s="62"/>
      <c r="Q93" s="106"/>
    </row>
    <row r="94" spans="1:20" s="123" customFormat="1" ht="15" x14ac:dyDescent="0.25">
      <c r="A94" s="62"/>
      <c r="B94" s="102">
        <f>+B93+10</f>
        <v>110</v>
      </c>
      <c r="C94" s="82">
        <f t="shared" si="5"/>
        <v>505.97800000000001</v>
      </c>
      <c r="D94" s="82">
        <f t="shared" si="6"/>
        <v>510.97800000000001</v>
      </c>
      <c r="E94" s="82">
        <f t="shared" si="7"/>
        <v>515.97800000000007</v>
      </c>
      <c r="F94" s="82">
        <f t="shared" si="8"/>
        <v>520.97800000000007</v>
      </c>
      <c r="G94" s="82">
        <f t="shared" si="9"/>
        <v>525.97800000000007</v>
      </c>
      <c r="H94" s="82">
        <f t="shared" si="10"/>
        <v>530.97800000000007</v>
      </c>
      <c r="I94" s="82">
        <f t="shared" si="11"/>
        <v>535.97800000000007</v>
      </c>
    </row>
    <row r="95" spans="1:20" s="123" customFormat="1" ht="15" x14ac:dyDescent="0.25">
      <c r="A95" s="62"/>
      <c r="B95" s="102">
        <f t="shared" ref="B95:B97" si="12">+B94+10</f>
        <v>120</v>
      </c>
      <c r="C95" s="82">
        <f t="shared" si="5"/>
        <v>507.02800000000002</v>
      </c>
      <c r="D95" s="82">
        <f t="shared" si="6"/>
        <v>512.02800000000002</v>
      </c>
      <c r="E95" s="82">
        <f t="shared" si="7"/>
        <v>517.02800000000002</v>
      </c>
      <c r="F95" s="82">
        <f t="shared" si="8"/>
        <v>522.02800000000002</v>
      </c>
      <c r="G95" s="82">
        <f t="shared" si="9"/>
        <v>527.02800000000002</v>
      </c>
      <c r="H95" s="82">
        <f t="shared" si="10"/>
        <v>532.02800000000002</v>
      </c>
      <c r="I95" s="82">
        <f t="shared" si="11"/>
        <v>537.02800000000002</v>
      </c>
    </row>
    <row r="96" spans="1:20" s="123" customFormat="1" ht="15" x14ac:dyDescent="0.25">
      <c r="A96" s="62"/>
      <c r="B96" s="102">
        <f t="shared" si="12"/>
        <v>130</v>
      </c>
      <c r="C96" s="82">
        <f t="shared" si="5"/>
        <v>508.07799999999997</v>
      </c>
      <c r="D96" s="82">
        <f t="shared" si="6"/>
        <v>513.07799999999997</v>
      </c>
      <c r="E96" s="82">
        <f t="shared" si="7"/>
        <v>518.07799999999997</v>
      </c>
      <c r="F96" s="82">
        <f t="shared" si="8"/>
        <v>523.07799999999997</v>
      </c>
      <c r="G96" s="82">
        <f t="shared" si="9"/>
        <v>528.07799999999997</v>
      </c>
      <c r="H96" s="82">
        <f t="shared" si="10"/>
        <v>533.07799999999997</v>
      </c>
      <c r="I96" s="82">
        <f t="shared" si="11"/>
        <v>538.07799999999997</v>
      </c>
    </row>
    <row r="97" spans="1:9" s="123" customFormat="1" ht="15" x14ac:dyDescent="0.25">
      <c r="A97" s="62"/>
      <c r="B97" s="102">
        <f t="shared" si="12"/>
        <v>140</v>
      </c>
      <c r="C97" s="82">
        <f t="shared" si="5"/>
        <v>509.12799999999999</v>
      </c>
      <c r="D97" s="82">
        <f t="shared" si="6"/>
        <v>514.12799999999993</v>
      </c>
      <c r="E97" s="82">
        <f t="shared" si="7"/>
        <v>519.12799999999993</v>
      </c>
      <c r="F97" s="82">
        <f t="shared" si="8"/>
        <v>524.12799999999993</v>
      </c>
      <c r="G97" s="82">
        <f t="shared" si="9"/>
        <v>529.12799999999993</v>
      </c>
      <c r="H97" s="82">
        <f t="shared" si="10"/>
        <v>534.12799999999993</v>
      </c>
      <c r="I97" s="82">
        <f t="shared" si="11"/>
        <v>539.12799999999993</v>
      </c>
    </row>
  </sheetData>
  <sheetProtection sheet="1" objects="1" scenarios="1"/>
  <mergeCells count="13">
    <mergeCell ref="G33:G35"/>
    <mergeCell ref="F34:F35"/>
    <mergeCell ref="H34:H35"/>
    <mergeCell ref="A90:B91"/>
    <mergeCell ref="F47:F48"/>
    <mergeCell ref="H47:H48"/>
    <mergeCell ref="G47:G48"/>
    <mergeCell ref="J27:M29"/>
    <mergeCell ref="A1:I1"/>
    <mergeCell ref="H2:I2"/>
    <mergeCell ref="A4:I8"/>
    <mergeCell ref="A9:I9"/>
    <mergeCell ref="J20:M21"/>
  </mergeCells>
  <conditionalFormatting sqref="H28">
    <cfRule type="iconSet" priority="2">
      <iconSet>
        <cfvo type="percent" val="0"/>
        <cfvo type="percent" val="33"/>
        <cfvo type="percent" val="67"/>
      </iconSet>
    </cfRule>
  </conditionalFormatting>
  <conditionalFormatting sqref="C92:I97">
    <cfRule type="colorScale" priority="1">
      <colorScale>
        <cfvo type="min"/>
        <cfvo type="percentile" val="50"/>
        <cfvo type="max"/>
        <color rgb="FF63BE7B"/>
        <color rgb="FFFFEB84"/>
        <color rgb="FFF8696B"/>
      </colorScale>
    </cfRule>
  </conditionalFormatting>
  <pageMargins left="0.7" right="0.7" top="0.75" bottom="0.75" header="0.3" footer="0.3"/>
  <pageSetup orientation="portrait" horizontalDpi="300" verticalDpi="300" r:id="rId1"/>
  <rowBreaks count="1" manualBreakCount="1">
    <brk id="58"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06"/>
  <sheetViews>
    <sheetView zoomScaleNormal="100" workbookViewId="0">
      <selection sqref="A1:I1"/>
    </sheetView>
  </sheetViews>
  <sheetFormatPr defaultRowHeight="12" x14ac:dyDescent="0.15"/>
  <cols>
    <col min="1" max="1" width="9.125" customWidth="1"/>
    <col min="4" max="4" width="10.125" bestFit="1" customWidth="1"/>
    <col min="9" max="9" width="11.125" bestFit="1" customWidth="1"/>
    <col min="10" max="34" width="9" style="123"/>
  </cols>
  <sheetData>
    <row r="1" spans="1:13" ht="23.25" x14ac:dyDescent="0.35">
      <c r="A1" s="251" t="s">
        <v>154</v>
      </c>
      <c r="B1" s="252"/>
      <c r="C1" s="252"/>
      <c r="D1" s="252"/>
      <c r="E1" s="252"/>
      <c r="F1" s="252"/>
      <c r="G1" s="252"/>
      <c r="H1" s="252"/>
      <c r="I1" s="252"/>
    </row>
    <row r="2" spans="1:13" ht="15" x14ac:dyDescent="0.25">
      <c r="A2" s="9"/>
      <c r="B2" s="9"/>
      <c r="H2" s="253">
        <f>+'Step 1 - Feed Cost Input Sheet '!F20</f>
        <v>42417</v>
      </c>
      <c r="I2" s="253"/>
    </row>
    <row r="3" spans="1:13" ht="15" x14ac:dyDescent="0.25">
      <c r="A3" s="9"/>
      <c r="B3" s="9"/>
      <c r="I3" s="99"/>
    </row>
    <row r="4" spans="1:13" x14ac:dyDescent="0.15">
      <c r="A4" s="247" t="s">
        <v>111</v>
      </c>
      <c r="B4" s="247"/>
      <c r="C4" s="247"/>
      <c r="D4" s="247"/>
      <c r="E4" s="247"/>
      <c r="F4" s="247"/>
      <c r="G4" s="247"/>
      <c r="H4" s="247"/>
      <c r="I4" s="247"/>
    </row>
    <row r="5" spans="1:13" x14ac:dyDescent="0.15">
      <c r="A5" s="247"/>
      <c r="B5" s="247"/>
      <c r="C5" s="247"/>
      <c r="D5" s="247"/>
      <c r="E5" s="247"/>
      <c r="F5" s="247"/>
      <c r="G5" s="247"/>
      <c r="H5" s="247"/>
      <c r="I5" s="247"/>
    </row>
    <row r="6" spans="1:13" x14ac:dyDescent="0.15">
      <c r="A6" s="247"/>
      <c r="B6" s="247"/>
      <c r="C6" s="247"/>
      <c r="D6" s="247"/>
      <c r="E6" s="247"/>
      <c r="F6" s="247"/>
      <c r="G6" s="247"/>
      <c r="H6" s="247"/>
      <c r="I6" s="247"/>
    </row>
    <row r="7" spans="1:13" x14ac:dyDescent="0.15">
      <c r="A7" s="247"/>
      <c r="B7" s="247"/>
      <c r="C7" s="247"/>
      <c r="D7" s="247"/>
      <c r="E7" s="247"/>
      <c r="F7" s="247"/>
      <c r="G7" s="247"/>
      <c r="H7" s="247"/>
      <c r="I7" s="247"/>
    </row>
    <row r="8" spans="1:13" x14ac:dyDescent="0.15">
      <c r="A8" s="247"/>
      <c r="B8" s="247"/>
      <c r="C8" s="247"/>
      <c r="D8" s="247"/>
      <c r="E8" s="247"/>
      <c r="F8" s="247"/>
      <c r="G8" s="247"/>
      <c r="H8" s="247"/>
      <c r="I8" s="247"/>
    </row>
    <row r="9" spans="1:13" ht="15" x14ac:dyDescent="0.25">
      <c r="A9" s="254" t="s">
        <v>0</v>
      </c>
      <c r="B9" s="254"/>
      <c r="C9" s="254"/>
      <c r="D9" s="254"/>
      <c r="E9" s="254"/>
      <c r="F9" s="254"/>
      <c r="G9" s="254"/>
      <c r="H9" s="254"/>
      <c r="I9" s="254"/>
    </row>
    <row r="10" spans="1:13" ht="15" x14ac:dyDescent="0.25">
      <c r="A10" s="9"/>
      <c r="B10" s="26"/>
      <c r="C10" s="20"/>
      <c r="D10" s="9"/>
      <c r="E10" s="9"/>
      <c r="F10" s="9"/>
      <c r="G10" s="9"/>
      <c r="H10" s="9"/>
      <c r="I10" s="9"/>
    </row>
    <row r="11" spans="1:13" ht="15.75" thickBot="1" x14ac:dyDescent="0.3">
      <c r="A11" s="9"/>
      <c r="B11" s="9"/>
      <c r="C11" s="9"/>
      <c r="D11" s="20" t="s">
        <v>42</v>
      </c>
      <c r="E11" s="9"/>
      <c r="F11" s="9"/>
      <c r="G11" s="9"/>
      <c r="H11" s="9"/>
      <c r="I11" s="9"/>
    </row>
    <row r="12" spans="1:13" ht="15.75" thickBot="1" x14ac:dyDescent="0.3">
      <c r="A12" s="28" t="s">
        <v>3</v>
      </c>
      <c r="B12" s="33"/>
      <c r="C12" s="33"/>
      <c r="D12" s="28" t="s">
        <v>4</v>
      </c>
      <c r="E12" s="33"/>
      <c r="F12" s="28" t="s">
        <v>3</v>
      </c>
      <c r="G12" s="33"/>
      <c r="H12" s="28" t="s">
        <v>5</v>
      </c>
      <c r="I12" s="33"/>
    </row>
    <row r="13" spans="1:13" ht="15" x14ac:dyDescent="0.25">
      <c r="A13" s="14" t="s">
        <v>180</v>
      </c>
      <c r="B13" s="9"/>
      <c r="C13" s="9"/>
      <c r="D13" s="12"/>
      <c r="E13" s="31" t="s">
        <v>7</v>
      </c>
      <c r="F13" s="12" t="s">
        <v>189</v>
      </c>
    </row>
    <row r="14" spans="1:13" ht="15" x14ac:dyDescent="0.25">
      <c r="A14" s="20" t="s">
        <v>95</v>
      </c>
      <c r="B14" s="9"/>
      <c r="C14" s="9"/>
      <c r="D14" s="100">
        <v>15</v>
      </c>
      <c r="E14" s="31" t="s">
        <v>7</v>
      </c>
      <c r="F14" s="9" t="s">
        <v>156</v>
      </c>
      <c r="G14" s="9"/>
      <c r="I14" s="136">
        <v>200</v>
      </c>
      <c r="J14" s="20"/>
      <c r="K14" s="9"/>
      <c r="L14"/>
    </row>
    <row r="15" spans="1:13" ht="15" x14ac:dyDescent="0.25">
      <c r="A15" s="20" t="s">
        <v>96</v>
      </c>
      <c r="B15" s="9"/>
      <c r="C15" s="9"/>
      <c r="D15" s="100">
        <v>1</v>
      </c>
      <c r="E15" s="31" t="s">
        <v>7</v>
      </c>
      <c r="F15" s="9" t="s">
        <v>187</v>
      </c>
      <c r="G15" s="9"/>
      <c r="H15" s="9"/>
      <c r="I15" s="137">
        <v>2500</v>
      </c>
    </row>
    <row r="16" spans="1:13" ht="15" x14ac:dyDescent="0.25">
      <c r="A16" s="20" t="s">
        <v>97</v>
      </c>
      <c r="B16" s="9"/>
      <c r="C16" s="9"/>
      <c r="D16" s="100">
        <v>0</v>
      </c>
      <c r="E16" s="31" t="s">
        <v>7</v>
      </c>
      <c r="F16" s="9" t="s">
        <v>179</v>
      </c>
      <c r="I16" s="138">
        <v>6</v>
      </c>
      <c r="J16" s="255" t="s">
        <v>185</v>
      </c>
      <c r="K16" s="256"/>
      <c r="L16" s="256"/>
      <c r="M16" s="256"/>
    </row>
    <row r="17" spans="1:34" ht="15" x14ac:dyDescent="0.25">
      <c r="A17" s="88" t="s">
        <v>163</v>
      </c>
      <c r="B17" s="58"/>
      <c r="C17" s="58"/>
      <c r="D17" s="101">
        <v>0</v>
      </c>
      <c r="E17" s="31" t="s">
        <v>7</v>
      </c>
      <c r="F17" s="9" t="s">
        <v>188</v>
      </c>
      <c r="I17" s="74">
        <f>1400*0.7</f>
        <v>979.99999999999989</v>
      </c>
      <c r="J17" s="256"/>
      <c r="K17" s="256"/>
      <c r="L17" s="256"/>
      <c r="M17" s="256"/>
    </row>
    <row r="18" spans="1:34" ht="15" x14ac:dyDescent="0.25">
      <c r="A18" s="9"/>
      <c r="B18" s="9"/>
      <c r="C18" s="9"/>
      <c r="D18" s="9"/>
      <c r="E18" s="31" t="s">
        <v>7</v>
      </c>
      <c r="F18" s="9" t="s">
        <v>170</v>
      </c>
      <c r="G18" s="9"/>
      <c r="I18" s="136">
        <v>4</v>
      </c>
    </row>
    <row r="19" spans="1:34" ht="15" x14ac:dyDescent="0.25">
      <c r="A19" s="14" t="s">
        <v>186</v>
      </c>
      <c r="B19" s="9"/>
      <c r="C19" s="9"/>
      <c r="D19" s="9"/>
      <c r="E19" s="31" t="s">
        <v>7</v>
      </c>
      <c r="F19" s="20" t="s">
        <v>171</v>
      </c>
      <c r="G19" s="9"/>
      <c r="I19" s="137">
        <v>5000</v>
      </c>
      <c r="J19" s="124">
        <f>+D24*30</f>
        <v>210</v>
      </c>
      <c r="K19" s="58" t="s">
        <v>159</v>
      </c>
    </row>
    <row r="20" spans="1:34" ht="15" x14ac:dyDescent="0.25">
      <c r="A20" s="20" t="s">
        <v>112</v>
      </c>
      <c r="B20" s="9"/>
      <c r="C20" s="9"/>
      <c r="D20" s="118">
        <v>6</v>
      </c>
      <c r="E20" s="31" t="s">
        <v>7</v>
      </c>
      <c r="F20" s="39" t="s">
        <v>200</v>
      </c>
      <c r="G20" s="198"/>
      <c r="H20" s="198"/>
      <c r="I20" s="211">
        <v>0.85</v>
      </c>
      <c r="J20" s="124">
        <f>+D25*30</f>
        <v>150</v>
      </c>
      <c r="K20" s="58" t="s">
        <v>162</v>
      </c>
    </row>
    <row r="21" spans="1:34" ht="15" x14ac:dyDescent="0.25">
      <c r="A21" s="20" t="s">
        <v>113</v>
      </c>
      <c r="B21" s="9"/>
      <c r="C21" s="9"/>
      <c r="D21" s="76">
        <v>15</v>
      </c>
      <c r="E21" s="31" t="s">
        <v>7</v>
      </c>
      <c r="F21" s="9"/>
      <c r="G21" s="9"/>
      <c r="H21" s="9"/>
      <c r="I21" s="9"/>
    </row>
    <row r="22" spans="1:34" ht="15.75" thickBot="1" x14ac:dyDescent="0.3">
      <c r="A22" s="20" t="s">
        <v>114</v>
      </c>
      <c r="B22" s="9"/>
      <c r="C22" s="9"/>
      <c r="D22" s="76">
        <v>40</v>
      </c>
      <c r="E22" s="31" t="s">
        <v>7</v>
      </c>
      <c r="F22" s="12" t="s">
        <v>167</v>
      </c>
      <c r="G22" s="9"/>
      <c r="H22" s="9"/>
      <c r="I22" s="9"/>
    </row>
    <row r="23" spans="1:34" ht="16.5" customHeight="1" thickTop="1" thickBot="1" x14ac:dyDescent="0.3">
      <c r="D23" s="139"/>
      <c r="E23" s="31" t="s">
        <v>7</v>
      </c>
      <c r="F23" s="9" t="s">
        <v>182</v>
      </c>
      <c r="G23" s="9"/>
      <c r="H23" s="9"/>
      <c r="I23" s="93">
        <v>0</v>
      </c>
      <c r="J23" s="250" t="s">
        <v>183</v>
      </c>
      <c r="K23" s="250"/>
      <c r="L23" s="250"/>
      <c r="M23" s="250"/>
    </row>
    <row r="24" spans="1:34" ht="15.75" thickTop="1" x14ac:dyDescent="0.25">
      <c r="A24" s="20" t="s">
        <v>157</v>
      </c>
      <c r="B24" s="9"/>
      <c r="C24" s="9"/>
      <c r="D24" s="98">
        <v>7</v>
      </c>
      <c r="E24" s="31" t="s">
        <v>7</v>
      </c>
      <c r="F24" s="9" t="s">
        <v>168</v>
      </c>
      <c r="G24" s="9"/>
      <c r="H24" s="9"/>
      <c r="I24" s="75">
        <v>1</v>
      </c>
      <c r="J24" s="250"/>
      <c r="K24" s="250"/>
      <c r="L24" s="250"/>
      <c r="M24" s="250"/>
    </row>
    <row r="25" spans="1:34" ht="15.75" thickBot="1" x14ac:dyDescent="0.3">
      <c r="A25" s="9" t="s">
        <v>158</v>
      </c>
      <c r="B25" s="9"/>
      <c r="C25" s="9"/>
      <c r="D25" s="140">
        <v>5</v>
      </c>
      <c r="E25" s="31" t="s">
        <v>7</v>
      </c>
      <c r="F25" s="9" t="s">
        <v>144</v>
      </c>
      <c r="G25" s="9"/>
      <c r="H25" s="9"/>
      <c r="I25" s="74">
        <v>0.01</v>
      </c>
      <c r="J25" s="250"/>
      <c r="K25" s="250"/>
      <c r="L25" s="250"/>
      <c r="M25" s="250"/>
    </row>
    <row r="26" spans="1:34" ht="16.5" thickTop="1" thickBot="1" x14ac:dyDescent="0.3">
      <c r="E26" s="31" t="s">
        <v>7</v>
      </c>
      <c r="F26" s="9" t="s">
        <v>146</v>
      </c>
      <c r="G26" s="9"/>
      <c r="H26" s="9"/>
      <c r="I26" s="94">
        <v>1</v>
      </c>
    </row>
    <row r="27" spans="1:34" ht="15.75" thickTop="1" x14ac:dyDescent="0.25">
      <c r="A27" s="212" t="s">
        <v>208</v>
      </c>
      <c r="B27" s="148"/>
      <c r="C27" s="148"/>
      <c r="D27" s="148"/>
      <c r="E27" s="97" t="s">
        <v>7</v>
      </c>
      <c r="F27" s="15" t="s">
        <v>152</v>
      </c>
      <c r="G27" s="15"/>
      <c r="H27" s="15"/>
      <c r="I27" s="95">
        <v>10</v>
      </c>
    </row>
    <row r="28" spans="1:34" ht="15" x14ac:dyDescent="0.25">
      <c r="A28" s="213" t="s">
        <v>328</v>
      </c>
      <c r="B28" s="148"/>
      <c r="C28" s="148"/>
      <c r="D28" s="228">
        <v>5</v>
      </c>
      <c r="E28" s="87"/>
      <c r="F28" s="58"/>
      <c r="G28" s="58"/>
      <c r="H28" s="58"/>
      <c r="I28" s="157"/>
    </row>
    <row r="29" spans="1:34" ht="15" x14ac:dyDescent="0.25">
      <c r="A29" s="148" t="s">
        <v>207</v>
      </c>
      <c r="B29" s="39"/>
      <c r="C29" s="39"/>
      <c r="D29" s="229">
        <v>158</v>
      </c>
      <c r="E29" s="87"/>
      <c r="F29" s="58"/>
      <c r="G29" s="58"/>
      <c r="H29" s="58"/>
      <c r="I29" s="157"/>
    </row>
    <row r="30" spans="1:34" s="198" customFormat="1" ht="15.75" customHeight="1" x14ac:dyDescent="0.25">
      <c r="A30" s="148"/>
      <c r="B30" s="39"/>
      <c r="C30" s="39"/>
      <c r="D30" s="197"/>
      <c r="E30" s="3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row>
    <row r="31" spans="1:34" ht="15" x14ac:dyDescent="0.25">
      <c r="E31" s="20"/>
      <c r="F31" s="9"/>
      <c r="G31" s="257" t="s">
        <v>161</v>
      </c>
      <c r="H31" s="9"/>
      <c r="I31" s="9"/>
    </row>
    <row r="32" spans="1:34" ht="15" x14ac:dyDescent="0.25">
      <c r="A32" s="12" t="s">
        <v>82</v>
      </c>
      <c r="B32" s="9"/>
      <c r="C32" s="9"/>
      <c r="D32" s="31"/>
      <c r="E32" s="58"/>
      <c r="F32" s="247" t="s">
        <v>155</v>
      </c>
      <c r="G32" s="257"/>
      <c r="H32" s="247" t="s">
        <v>160</v>
      </c>
      <c r="I32" s="9"/>
    </row>
    <row r="33" spans="1:13" ht="15" x14ac:dyDescent="0.25">
      <c r="A33" s="9"/>
      <c r="B33" s="15" t="s">
        <v>83</v>
      </c>
      <c r="C33" s="15"/>
      <c r="D33" s="15"/>
      <c r="E33" s="15"/>
      <c r="F33" s="248"/>
      <c r="G33" s="248"/>
      <c r="H33" s="248"/>
      <c r="I33" s="15" t="s">
        <v>89</v>
      </c>
    </row>
    <row r="34" spans="1:13" ht="15" customHeight="1" x14ac:dyDescent="0.25">
      <c r="A34" s="9"/>
      <c r="B34" s="107" t="str">
        <f>+'Step 1 - Feed Cost Input Sheet '!A21</f>
        <v>Limestone</v>
      </c>
      <c r="C34" s="9"/>
      <c r="D34" s="9"/>
      <c r="E34" s="9"/>
      <c r="F34" s="64">
        <v>0</v>
      </c>
      <c r="G34" s="9">
        <f>+(F34/100)*$J$19</f>
        <v>0</v>
      </c>
      <c r="H34" s="117">
        <f>+'Step 1 - Feed Cost Input Sheet '!B21</f>
        <v>10</v>
      </c>
      <c r="I34" s="9" t="s">
        <v>84</v>
      </c>
      <c r="J34" s="265" t="s">
        <v>169</v>
      </c>
      <c r="K34" s="265"/>
      <c r="L34" s="265"/>
      <c r="M34" s="265"/>
    </row>
    <row r="35" spans="1:13" ht="15" x14ac:dyDescent="0.25">
      <c r="A35" s="9"/>
      <c r="B35" s="107" t="str">
        <f>+'Step 1 - Feed Cost Input Sheet '!A22</f>
        <v>Mineral &amp; Salt</v>
      </c>
      <c r="C35" s="9"/>
      <c r="D35" s="9"/>
      <c r="E35" s="9"/>
      <c r="F35" s="64">
        <v>0.12</v>
      </c>
      <c r="G35" s="9">
        <f>+(F35/100)*$J$19</f>
        <v>0.252</v>
      </c>
      <c r="H35" s="117">
        <f>+'Step 1 - Feed Cost Input Sheet '!B22</f>
        <v>22</v>
      </c>
      <c r="I35" s="9" t="s">
        <v>84</v>
      </c>
      <c r="J35" s="265"/>
      <c r="K35" s="265"/>
      <c r="L35" s="265"/>
      <c r="M35" s="265"/>
    </row>
    <row r="36" spans="1:13" ht="15" x14ac:dyDescent="0.25">
      <c r="A36" s="9"/>
      <c r="B36" s="107" t="str">
        <f>+'Step 1 - Feed Cost Input Sheet '!A23</f>
        <v>Dry Corn</v>
      </c>
      <c r="C36" s="9"/>
      <c r="D36" s="9"/>
      <c r="E36" s="9"/>
      <c r="F36" s="64">
        <v>0</v>
      </c>
      <c r="G36" s="9">
        <f>+(F36/56)*$J$19</f>
        <v>0</v>
      </c>
      <c r="H36" s="117">
        <f>+'Step 1 - Feed Cost Input Sheet '!B23</f>
        <v>3.27</v>
      </c>
      <c r="I36" s="9" t="s">
        <v>85</v>
      </c>
      <c r="J36" s="265"/>
      <c r="K36" s="265"/>
      <c r="L36" s="265"/>
      <c r="M36" s="265"/>
    </row>
    <row r="37" spans="1:13" ht="15" x14ac:dyDescent="0.25">
      <c r="A37" s="9"/>
      <c r="B37" s="107" t="str">
        <f>+'Step 1 - Feed Cost Input Sheet '!A24</f>
        <v>High Moisture Corn</v>
      </c>
      <c r="C37" s="9"/>
      <c r="D37" s="9"/>
      <c r="E37" s="9"/>
      <c r="F37" s="64">
        <v>0</v>
      </c>
      <c r="G37" s="9">
        <f>+(F37/56)*$J$19</f>
        <v>0</v>
      </c>
      <c r="H37" s="117">
        <f>+'Step 1 - Feed Cost Input Sheet '!B24</f>
        <v>2.27</v>
      </c>
      <c r="I37" s="9" t="s">
        <v>85</v>
      </c>
      <c r="J37" s="265"/>
      <c r="K37" s="265"/>
      <c r="L37" s="265"/>
      <c r="M37" s="265"/>
    </row>
    <row r="38" spans="1:13" ht="15" customHeight="1" x14ac:dyDescent="0.25">
      <c r="A38" s="9"/>
      <c r="B38" s="107" t="str">
        <f>+'Step 1 - Feed Cost Input Sheet '!A25</f>
        <v>Hay</v>
      </c>
      <c r="C38" s="9"/>
      <c r="D38" s="9"/>
      <c r="E38" s="9"/>
      <c r="F38" s="64">
        <v>6</v>
      </c>
      <c r="G38" s="9">
        <f>+(F38/2000)*$J$19</f>
        <v>0.63</v>
      </c>
      <c r="H38" s="117">
        <f>+'Step 1 - Feed Cost Input Sheet '!B25</f>
        <v>90</v>
      </c>
      <c r="I38" s="9" t="s">
        <v>86</v>
      </c>
      <c r="J38" s="265"/>
      <c r="K38" s="265"/>
      <c r="L38" s="265"/>
      <c r="M38" s="265"/>
    </row>
    <row r="39" spans="1:13" ht="15" x14ac:dyDescent="0.25">
      <c r="A39" s="9"/>
      <c r="B39" s="107" t="str">
        <f>+'Step 1 - Feed Cost Input Sheet '!A26</f>
        <v>Alfalfa</v>
      </c>
      <c r="C39" s="9"/>
      <c r="D39" s="9"/>
      <c r="E39" s="9"/>
      <c r="F39" s="64">
        <v>2</v>
      </c>
      <c r="G39" s="9">
        <f>+(F39/2000)*$J$19</f>
        <v>0.21</v>
      </c>
      <c r="H39" s="117">
        <f>+'Step 1 - Feed Cost Input Sheet '!B26</f>
        <v>100</v>
      </c>
      <c r="I39" s="9" t="s">
        <v>86</v>
      </c>
      <c r="J39" s="265"/>
      <c r="K39" s="265"/>
      <c r="L39" s="265"/>
      <c r="M39" s="265"/>
    </row>
    <row r="40" spans="1:13" ht="15" x14ac:dyDescent="0.25">
      <c r="A40" s="9"/>
      <c r="B40" s="107" t="str">
        <f>+'Step 1 - Feed Cost Input Sheet '!A27</f>
        <v>Silage</v>
      </c>
      <c r="C40" s="9"/>
      <c r="D40" s="9"/>
      <c r="E40" s="9"/>
      <c r="F40" s="64">
        <v>24</v>
      </c>
      <c r="G40" s="9">
        <f>+(F40/2000)*$J$19</f>
        <v>2.52</v>
      </c>
      <c r="H40" s="117">
        <f>+'Step 1 - Feed Cost Input Sheet '!B27</f>
        <v>32</v>
      </c>
      <c r="I40" s="9" t="s">
        <v>86</v>
      </c>
      <c r="J40" s="265"/>
      <c r="K40" s="265"/>
      <c r="L40" s="265"/>
      <c r="M40" s="265"/>
    </row>
    <row r="41" spans="1:13" ht="15" x14ac:dyDescent="0.25">
      <c r="A41" s="9"/>
      <c r="B41" s="107" t="str">
        <f>+'Step 1 - Feed Cost Input Sheet '!A28</f>
        <v>Corn Stover</v>
      </c>
      <c r="C41" s="9"/>
      <c r="D41" s="9"/>
      <c r="E41" s="9"/>
      <c r="F41" s="64">
        <v>12</v>
      </c>
      <c r="G41" s="9">
        <f>+(F41/2000)*$J$19</f>
        <v>1.26</v>
      </c>
      <c r="H41" s="117">
        <f>+'Step 1 - Feed Cost Input Sheet '!B28</f>
        <v>55</v>
      </c>
      <c r="I41" s="9" t="s">
        <v>86</v>
      </c>
      <c r="J41" s="265"/>
      <c r="K41" s="265"/>
      <c r="L41" s="265"/>
      <c r="M41" s="265"/>
    </row>
    <row r="42" spans="1:13" ht="15" x14ac:dyDescent="0.25">
      <c r="A42" s="9"/>
      <c r="B42" s="107" t="str">
        <f>+'Step 1 - Feed Cost Input Sheet '!A29</f>
        <v>Modified Distillers</v>
      </c>
      <c r="C42" s="9"/>
      <c r="D42" s="9"/>
      <c r="E42" s="58"/>
      <c r="F42" s="64">
        <v>0</v>
      </c>
      <c r="G42" s="9">
        <f>+(F42/2000)*$J$19</f>
        <v>0</v>
      </c>
      <c r="H42" s="117">
        <f>+'Step 1 - Feed Cost Input Sheet '!B29</f>
        <v>125</v>
      </c>
      <c r="I42" s="9" t="s">
        <v>86</v>
      </c>
      <c r="J42" s="265"/>
      <c r="K42" s="265"/>
      <c r="L42" s="265"/>
      <c r="M42" s="265"/>
    </row>
    <row r="43" spans="1:13" ht="15" x14ac:dyDescent="0.25">
      <c r="A43" s="15"/>
      <c r="B43" s="171" t="str">
        <f>+'Step 1 - Feed Cost Input Sheet '!A30</f>
        <v>Pasture</v>
      </c>
      <c r="C43" s="15"/>
      <c r="D43" s="96"/>
      <c r="E43" s="121"/>
      <c r="F43" s="121">
        <f>+D25</f>
        <v>5</v>
      </c>
      <c r="G43" s="108"/>
      <c r="H43" s="172">
        <f>+'Step 1 - Feed Cost Input Sheet '!B30</f>
        <v>45</v>
      </c>
      <c r="I43" s="15" t="s">
        <v>119</v>
      </c>
    </row>
    <row r="44" spans="1:13" ht="15" x14ac:dyDescent="0.25">
      <c r="A44" s="189" t="s">
        <v>330</v>
      </c>
      <c r="B44" s="35"/>
      <c r="C44" s="35"/>
      <c r="D44" s="20" t="s">
        <v>74</v>
      </c>
      <c r="E44" s="35"/>
      <c r="F44" s="35"/>
      <c r="G44" s="9"/>
      <c r="H44" s="35"/>
      <c r="I44" s="35"/>
    </row>
    <row r="45" spans="1:13" ht="15" x14ac:dyDescent="0.25">
      <c r="A45" s="14" t="s">
        <v>177</v>
      </c>
      <c r="B45" s="35"/>
      <c r="C45" s="35"/>
      <c r="D45" s="35"/>
      <c r="E45" s="35"/>
      <c r="F45" s="35"/>
      <c r="G45" s="35"/>
      <c r="H45" s="35"/>
      <c r="I45" s="35"/>
    </row>
    <row r="46" spans="1:13" ht="15" x14ac:dyDescent="0.25">
      <c r="A46" s="35"/>
      <c r="C46" s="20" t="str">
        <f t="shared" ref="C46:C55" si="0">+B34</f>
        <v>Limestone</v>
      </c>
      <c r="D46" s="35"/>
      <c r="E46" s="109">
        <f t="shared" ref="E46:E54" si="1">+G34</f>
        <v>0</v>
      </c>
      <c r="F46" s="109" t="s">
        <v>18</v>
      </c>
      <c r="G46" s="59">
        <f t="shared" ref="G46:G55" si="2">+H34</f>
        <v>10</v>
      </c>
      <c r="H46" s="59">
        <f t="shared" ref="H46:H55" si="3">+E46*G46</f>
        <v>0</v>
      </c>
    </row>
    <row r="47" spans="1:13" ht="15" x14ac:dyDescent="0.25">
      <c r="A47" s="35"/>
      <c r="B47" s="35"/>
      <c r="C47" s="20" t="str">
        <f t="shared" si="0"/>
        <v>Mineral &amp; Salt</v>
      </c>
      <c r="D47" s="35"/>
      <c r="E47" s="109">
        <f t="shared" si="1"/>
        <v>0.252</v>
      </c>
      <c r="F47" s="109" t="s">
        <v>18</v>
      </c>
      <c r="G47" s="59">
        <f t="shared" si="2"/>
        <v>22</v>
      </c>
      <c r="H47" s="59">
        <f t="shared" si="3"/>
        <v>5.5440000000000005</v>
      </c>
      <c r="I47" s="25"/>
    </row>
    <row r="48" spans="1:13" ht="15" x14ac:dyDescent="0.25">
      <c r="A48" s="35"/>
      <c r="B48" s="35"/>
      <c r="C48" s="35" t="str">
        <f t="shared" si="0"/>
        <v>Dry Corn</v>
      </c>
      <c r="D48" s="35"/>
      <c r="E48" s="109">
        <f t="shared" si="1"/>
        <v>0</v>
      </c>
      <c r="F48" s="109" t="s">
        <v>54</v>
      </c>
      <c r="G48" s="59">
        <f t="shared" si="2"/>
        <v>3.27</v>
      </c>
      <c r="H48" s="59">
        <f t="shared" si="3"/>
        <v>0</v>
      </c>
      <c r="I48" s="25"/>
    </row>
    <row r="49" spans="1:20" ht="15" x14ac:dyDescent="0.25">
      <c r="A49" s="35"/>
      <c r="B49" s="35"/>
      <c r="C49" s="35" t="str">
        <f t="shared" si="0"/>
        <v>High Moisture Corn</v>
      </c>
      <c r="D49" s="35"/>
      <c r="E49" s="109">
        <f t="shared" si="1"/>
        <v>0</v>
      </c>
      <c r="F49" s="109" t="s">
        <v>54</v>
      </c>
      <c r="G49" s="59">
        <f t="shared" si="2"/>
        <v>2.27</v>
      </c>
      <c r="H49" s="59">
        <f t="shared" si="3"/>
        <v>0</v>
      </c>
      <c r="I49" s="35"/>
    </row>
    <row r="50" spans="1:20" ht="15" x14ac:dyDescent="0.25">
      <c r="A50" s="35"/>
      <c r="B50" s="35"/>
      <c r="C50" s="35" t="str">
        <f t="shared" si="0"/>
        <v>Hay</v>
      </c>
      <c r="D50" s="35"/>
      <c r="E50" s="109">
        <f t="shared" si="1"/>
        <v>0.63</v>
      </c>
      <c r="F50" s="109" t="s">
        <v>55</v>
      </c>
      <c r="G50" s="59">
        <f t="shared" si="2"/>
        <v>90</v>
      </c>
      <c r="H50" s="59">
        <f t="shared" si="3"/>
        <v>56.7</v>
      </c>
      <c r="I50" s="35"/>
    </row>
    <row r="51" spans="1:20" ht="15" x14ac:dyDescent="0.25">
      <c r="A51" s="35"/>
      <c r="B51" s="35"/>
      <c r="C51" s="35" t="str">
        <f t="shared" si="0"/>
        <v>Alfalfa</v>
      </c>
      <c r="D51" s="35"/>
      <c r="E51" s="109">
        <f t="shared" si="1"/>
        <v>0.21</v>
      </c>
      <c r="F51" s="109" t="s">
        <v>55</v>
      </c>
      <c r="G51" s="59">
        <f t="shared" si="2"/>
        <v>100</v>
      </c>
      <c r="H51" s="59">
        <f t="shared" si="3"/>
        <v>21</v>
      </c>
      <c r="I51" s="35"/>
    </row>
    <row r="52" spans="1:20" ht="15" x14ac:dyDescent="0.25">
      <c r="A52" s="35"/>
      <c r="B52" s="35"/>
      <c r="C52" s="35" t="str">
        <f t="shared" si="0"/>
        <v>Silage</v>
      </c>
      <c r="D52" s="35"/>
      <c r="E52" s="109">
        <f t="shared" si="1"/>
        <v>2.52</v>
      </c>
      <c r="F52" s="109" t="s">
        <v>55</v>
      </c>
      <c r="G52" s="59">
        <f t="shared" si="2"/>
        <v>32</v>
      </c>
      <c r="H52" s="59">
        <f t="shared" si="3"/>
        <v>80.64</v>
      </c>
      <c r="I52" s="35"/>
    </row>
    <row r="53" spans="1:20" ht="15" x14ac:dyDescent="0.25">
      <c r="A53" s="35"/>
      <c r="B53" s="35"/>
      <c r="C53" s="20" t="str">
        <f t="shared" si="0"/>
        <v>Corn Stover</v>
      </c>
      <c r="D53" s="35"/>
      <c r="E53" s="109">
        <f t="shared" si="1"/>
        <v>1.26</v>
      </c>
      <c r="F53" s="109" t="s">
        <v>55</v>
      </c>
      <c r="G53" s="59">
        <f t="shared" si="2"/>
        <v>55</v>
      </c>
      <c r="H53" s="59">
        <f t="shared" si="3"/>
        <v>69.3</v>
      </c>
      <c r="I53" s="35"/>
    </row>
    <row r="54" spans="1:20" ht="15" x14ac:dyDescent="0.25">
      <c r="A54" s="35"/>
      <c r="B54" s="35"/>
      <c r="C54" s="20" t="str">
        <f t="shared" si="0"/>
        <v>Modified Distillers</v>
      </c>
      <c r="D54" s="35"/>
      <c r="E54" s="109">
        <f t="shared" si="1"/>
        <v>0</v>
      </c>
      <c r="F54" s="109" t="s">
        <v>55</v>
      </c>
      <c r="G54" s="59">
        <f t="shared" si="2"/>
        <v>125</v>
      </c>
      <c r="H54" s="59">
        <f t="shared" si="3"/>
        <v>0</v>
      </c>
      <c r="I54" s="25"/>
    </row>
    <row r="55" spans="1:20" ht="15" x14ac:dyDescent="0.25">
      <c r="A55" s="35"/>
      <c r="B55" s="35"/>
      <c r="C55" s="20" t="str">
        <f t="shared" si="0"/>
        <v>Pasture</v>
      </c>
      <c r="D55" s="35"/>
      <c r="E55" s="109">
        <f>+F43</f>
        <v>5</v>
      </c>
      <c r="F55" s="109" t="s">
        <v>130</v>
      </c>
      <c r="G55" s="59">
        <f t="shared" si="2"/>
        <v>45</v>
      </c>
      <c r="H55" s="59">
        <f t="shared" si="3"/>
        <v>225</v>
      </c>
      <c r="I55" s="25"/>
    </row>
    <row r="56" spans="1:20" ht="15" x14ac:dyDescent="0.25">
      <c r="A56" s="35"/>
      <c r="B56" s="20" t="s">
        <v>117</v>
      </c>
      <c r="I56" s="25">
        <f>+SUM(H46:H55)</f>
        <v>458.18400000000003</v>
      </c>
    </row>
    <row r="57" spans="1:20" ht="15" x14ac:dyDescent="0.25">
      <c r="A57" s="35"/>
      <c r="B57" s="20" t="s">
        <v>19</v>
      </c>
      <c r="C57" s="35"/>
      <c r="D57" s="35"/>
      <c r="E57" s="35"/>
      <c r="F57" s="35"/>
      <c r="G57" s="35"/>
      <c r="H57" s="35"/>
      <c r="I57" s="25">
        <f>D14</f>
        <v>15</v>
      </c>
    </row>
    <row r="58" spans="1:20" ht="15" x14ac:dyDescent="0.25">
      <c r="A58" s="35"/>
      <c r="B58" s="20" t="s">
        <v>20</v>
      </c>
      <c r="C58" s="35"/>
      <c r="D58" s="35"/>
      <c r="E58" s="35"/>
      <c r="F58" s="35"/>
      <c r="G58" s="35"/>
      <c r="H58" s="35"/>
      <c r="I58" s="25">
        <f>D15</f>
        <v>1</v>
      </c>
    </row>
    <row r="59" spans="1:20" ht="15" x14ac:dyDescent="0.25">
      <c r="A59" s="35"/>
      <c r="B59" s="20" t="s">
        <v>21</v>
      </c>
      <c r="C59" s="35"/>
      <c r="D59" s="35"/>
      <c r="E59" s="35"/>
      <c r="F59" s="35"/>
      <c r="G59" s="35"/>
      <c r="H59" s="35"/>
      <c r="I59" s="45">
        <f>D16</f>
        <v>0</v>
      </c>
    </row>
    <row r="60" spans="1:20" ht="15" x14ac:dyDescent="0.25">
      <c r="A60" s="35"/>
      <c r="B60" s="20" t="s">
        <v>151</v>
      </c>
      <c r="C60" s="35"/>
      <c r="D60" s="35"/>
      <c r="E60" s="35"/>
      <c r="F60" s="35"/>
      <c r="G60" s="35"/>
      <c r="H60" s="35"/>
      <c r="I60" s="71">
        <f>+IF(I23=0,(I24/I26*I25/I27),(I23*I24/I27))</f>
        <v>1E-3</v>
      </c>
    </row>
    <row r="61" spans="1:20" ht="15.75" thickBot="1" x14ac:dyDescent="0.3">
      <c r="A61" s="35"/>
      <c r="B61" s="88" t="s">
        <v>163</v>
      </c>
      <c r="C61" s="35"/>
      <c r="D61" s="35"/>
      <c r="E61" s="35"/>
      <c r="F61" s="35"/>
      <c r="G61" s="35"/>
      <c r="H61" s="35"/>
      <c r="I61" s="188">
        <f>+D17</f>
        <v>0</v>
      </c>
    </row>
    <row r="62" spans="1:20" ht="15.75" thickBot="1" x14ac:dyDescent="0.3">
      <c r="A62" s="35"/>
      <c r="B62" s="20" t="s">
        <v>17</v>
      </c>
      <c r="C62" s="35"/>
      <c r="D62" s="14" t="s">
        <v>22</v>
      </c>
      <c r="E62" s="35"/>
      <c r="F62" s="35"/>
      <c r="G62" s="35"/>
      <c r="H62" s="35"/>
      <c r="I62" s="210">
        <f>SUM(I56:I61)</f>
        <v>474.185</v>
      </c>
    </row>
    <row r="63" spans="1:20" ht="15" x14ac:dyDescent="0.25">
      <c r="A63" s="35"/>
      <c r="B63" s="35"/>
      <c r="C63" s="35"/>
      <c r="D63" s="35"/>
      <c r="E63" s="35"/>
      <c r="F63" s="35"/>
      <c r="G63" s="35"/>
      <c r="H63" s="35"/>
      <c r="I63" s="35"/>
    </row>
    <row r="64" spans="1:20" ht="15" x14ac:dyDescent="0.25">
      <c r="A64" s="14" t="s">
        <v>178</v>
      </c>
      <c r="B64" s="35"/>
      <c r="C64" s="35"/>
      <c r="D64" s="35"/>
      <c r="F64" s="35"/>
      <c r="G64" s="35"/>
      <c r="H64" s="35"/>
      <c r="I64" s="35"/>
      <c r="J64" s="125"/>
      <c r="K64" s="30"/>
      <c r="L64" s="125"/>
      <c r="M64" s="125"/>
      <c r="N64" s="125"/>
      <c r="O64" s="125"/>
      <c r="P64" s="125"/>
      <c r="Q64" s="125"/>
      <c r="R64" s="125"/>
      <c r="S64" s="125"/>
      <c r="T64" s="126"/>
    </row>
    <row r="65" spans="1:20" ht="15.75" customHeight="1" x14ac:dyDescent="0.25">
      <c r="B65" s="20" t="s">
        <v>172</v>
      </c>
      <c r="C65" s="1"/>
      <c r="E65" s="113">
        <f>+I14</f>
        <v>200</v>
      </c>
      <c r="F65" s="111" t="s">
        <v>173</v>
      </c>
      <c r="G65" s="115">
        <f>+I18</f>
        <v>4</v>
      </c>
      <c r="H65" s="9" t="s">
        <v>174</v>
      </c>
      <c r="I65" s="112">
        <f>+(G65*(I19/3))/E65</f>
        <v>33.333333333333336</v>
      </c>
      <c r="J65" s="88"/>
      <c r="K65" s="125"/>
      <c r="L65" s="125"/>
      <c r="M65" s="125"/>
      <c r="N65" s="125"/>
      <c r="O65" s="125"/>
      <c r="P65" s="125"/>
      <c r="Q65" s="125"/>
      <c r="R65" s="125"/>
      <c r="S65" s="125"/>
      <c r="T65" s="126"/>
    </row>
    <row r="66" spans="1:20" ht="15" x14ac:dyDescent="0.25">
      <c r="B66" s="2" t="s">
        <v>29</v>
      </c>
      <c r="C66" s="1"/>
      <c r="D66" s="1"/>
      <c r="E66" s="114">
        <f>+E65</f>
        <v>200</v>
      </c>
      <c r="F66" s="111" t="s">
        <v>173</v>
      </c>
      <c r="G66" s="116">
        <f>+I16</f>
        <v>6</v>
      </c>
      <c r="H66" s="155" t="s">
        <v>203</v>
      </c>
      <c r="I66" s="71">
        <f>(G66*I15)/E66-(I17/E66)</f>
        <v>70.099999999999994</v>
      </c>
      <c r="J66" s="58"/>
      <c r="R66" s="125"/>
      <c r="S66" s="128"/>
      <c r="T66" s="129"/>
    </row>
    <row r="67" spans="1:20" ht="15" x14ac:dyDescent="0.25">
      <c r="B67" s="2" t="s">
        <v>31</v>
      </c>
      <c r="C67" s="1"/>
      <c r="D67" s="7"/>
      <c r="E67" s="6"/>
      <c r="F67" s="5"/>
      <c r="G67" s="4"/>
      <c r="H67" s="2"/>
      <c r="I67" s="71">
        <f>+I56</f>
        <v>458.18400000000003</v>
      </c>
      <c r="J67" s="125"/>
      <c r="R67" s="125"/>
      <c r="S67" s="128"/>
      <c r="T67" s="129"/>
    </row>
    <row r="68" spans="1:20" ht="15" x14ac:dyDescent="0.25">
      <c r="B68" s="2" t="s">
        <v>33</v>
      </c>
      <c r="C68" s="1"/>
      <c r="D68" s="7"/>
      <c r="E68" s="6"/>
      <c r="F68" s="5"/>
      <c r="G68" s="4"/>
      <c r="H68" s="2"/>
      <c r="I68" s="119">
        <f>+SUM(I57:I61)</f>
        <v>16.001000000000001</v>
      </c>
      <c r="J68" s="125"/>
      <c r="R68" s="125"/>
      <c r="S68" s="128"/>
      <c r="T68" s="129"/>
    </row>
    <row r="69" spans="1:20" ht="15.75" thickBot="1" x14ac:dyDescent="0.3">
      <c r="B69" s="20" t="s">
        <v>176</v>
      </c>
      <c r="C69" s="1"/>
      <c r="D69" s="26" t="s">
        <v>181</v>
      </c>
      <c r="E69" s="35"/>
      <c r="F69" s="5"/>
      <c r="G69" s="4"/>
      <c r="H69" s="2"/>
      <c r="I69" s="122">
        <f>(D21+D22+SUM(I65:I68))*(D20/100)</f>
        <v>37.957099999999997</v>
      </c>
      <c r="J69" s="125"/>
      <c r="K69" s="158"/>
      <c r="R69" s="125"/>
      <c r="S69" s="128"/>
      <c r="T69" s="129"/>
    </row>
    <row r="70" spans="1:20" ht="15.75" thickTop="1" x14ac:dyDescent="0.25">
      <c r="A70" s="35"/>
      <c r="B70" s="107" t="s">
        <v>165</v>
      </c>
      <c r="C70" s="35"/>
      <c r="D70" s="20"/>
      <c r="F70" s="35"/>
      <c r="G70" s="35"/>
      <c r="H70" s="35"/>
      <c r="I70" s="117">
        <f>SUM(I65:I69)</f>
        <v>615.57543333333331</v>
      </c>
      <c r="J70" s="125"/>
      <c r="K70" s="158"/>
      <c r="R70" s="125"/>
      <c r="S70" s="128"/>
      <c r="T70" s="129"/>
    </row>
    <row r="71" spans="1:20" ht="15" x14ac:dyDescent="0.25">
      <c r="A71" s="35"/>
      <c r="B71" s="107"/>
      <c r="C71" s="35"/>
      <c r="D71" s="20"/>
      <c r="F71" s="35"/>
      <c r="G71" s="35"/>
      <c r="H71" s="35"/>
      <c r="I71" s="117"/>
      <c r="J71" s="125"/>
      <c r="R71" s="125"/>
      <c r="S71" s="128"/>
      <c r="T71" s="129"/>
    </row>
    <row r="72" spans="1:20" ht="15" x14ac:dyDescent="0.25">
      <c r="A72" s="222" t="s">
        <v>209</v>
      </c>
      <c r="B72" s="223"/>
      <c r="C72" s="40"/>
      <c r="D72" s="38"/>
      <c r="E72" s="198"/>
      <c r="F72" s="40"/>
      <c r="G72" s="40"/>
      <c r="H72" s="40"/>
      <c r="I72" s="224"/>
      <c r="J72" s="125"/>
      <c r="R72" s="125"/>
      <c r="S72" s="128"/>
      <c r="T72" s="129"/>
    </row>
    <row r="73" spans="1:20" ht="15" x14ac:dyDescent="0.25">
      <c r="A73" s="198"/>
      <c r="B73" s="40" t="s">
        <v>205</v>
      </c>
      <c r="C73" s="198"/>
      <c r="D73" s="198"/>
      <c r="E73" s="40"/>
      <c r="F73" s="198"/>
      <c r="G73" s="198"/>
      <c r="H73" s="198"/>
      <c r="I73" s="225">
        <f>((D28*D29)/2)+(((D28*0.8)*(D29+(D29*0.05))/2))</f>
        <v>726.8</v>
      </c>
      <c r="J73" s="125"/>
      <c r="R73" s="125"/>
      <c r="S73" s="128"/>
      <c r="T73" s="129"/>
    </row>
    <row r="74" spans="1:20" ht="15.75" thickBot="1" x14ac:dyDescent="0.3">
      <c r="A74" s="198"/>
      <c r="B74" s="40" t="s">
        <v>206</v>
      </c>
      <c r="C74" s="198"/>
      <c r="D74" s="198"/>
      <c r="E74" s="40"/>
      <c r="F74" s="198"/>
      <c r="G74" s="198"/>
      <c r="H74" s="198"/>
      <c r="I74" s="226">
        <f>(I16*I17)/I14</f>
        <v>29.399999999999995</v>
      </c>
      <c r="J74" s="125"/>
      <c r="R74" s="125"/>
      <c r="S74" s="128"/>
      <c r="T74" s="129"/>
    </row>
    <row r="75" spans="1:20" ht="15.75" thickTop="1" x14ac:dyDescent="0.25">
      <c r="A75" s="198"/>
      <c r="B75" s="223" t="s">
        <v>340</v>
      </c>
      <c r="C75" s="198"/>
      <c r="D75" s="198"/>
      <c r="E75" s="40"/>
      <c r="F75" s="198"/>
      <c r="G75" s="198"/>
      <c r="H75" s="198"/>
      <c r="I75" s="227">
        <f>SUM(I73:I74)</f>
        <v>756.19999999999993</v>
      </c>
      <c r="J75" s="125"/>
      <c r="R75" s="125"/>
      <c r="S75" s="128"/>
      <c r="T75" s="129"/>
    </row>
    <row r="76" spans="1:20" ht="15" x14ac:dyDescent="0.25">
      <c r="B76" s="156"/>
      <c r="E76" s="35"/>
      <c r="J76" s="125"/>
      <c r="R76" s="125"/>
      <c r="S76" s="128"/>
      <c r="T76" s="129"/>
    </row>
    <row r="77" spans="1:20" ht="15" x14ac:dyDescent="0.25">
      <c r="A77" s="14" t="s">
        <v>204</v>
      </c>
      <c r="B77" s="35"/>
      <c r="C77" s="35"/>
      <c r="D77" s="35"/>
      <c r="F77" s="35"/>
      <c r="G77" s="35"/>
      <c r="H77" s="35"/>
      <c r="I77" s="35"/>
      <c r="R77" s="125"/>
      <c r="S77" s="130"/>
      <c r="T77" s="126"/>
    </row>
    <row r="78" spans="1:20" ht="15" x14ac:dyDescent="0.25">
      <c r="A78" s="258" t="s">
        <v>164</v>
      </c>
      <c r="B78" s="259"/>
      <c r="C78" s="35"/>
      <c r="D78" s="35"/>
      <c r="E78" s="20" t="s">
        <v>184</v>
      </c>
      <c r="F78" s="35"/>
      <c r="G78" s="35"/>
      <c r="H78" s="35"/>
      <c r="I78" s="35"/>
      <c r="R78" s="125"/>
      <c r="S78" s="128"/>
      <c r="T78" s="129"/>
    </row>
    <row r="79" spans="1:20" ht="15" x14ac:dyDescent="0.25">
      <c r="A79" s="260"/>
      <c r="B79" s="261"/>
      <c r="C79" s="104">
        <f>+D79-1</f>
        <v>44</v>
      </c>
      <c r="D79" s="103">
        <f>+H43</f>
        <v>45</v>
      </c>
      <c r="E79" s="103">
        <f>+D79+1</f>
        <v>46</v>
      </c>
      <c r="F79" s="103">
        <f>+E79+1</f>
        <v>47</v>
      </c>
      <c r="G79" s="103">
        <f t="shared" ref="G79:I79" si="4">+F79+1</f>
        <v>48</v>
      </c>
      <c r="H79" s="103">
        <f t="shared" si="4"/>
        <v>49</v>
      </c>
      <c r="I79" s="103">
        <f t="shared" si="4"/>
        <v>50</v>
      </c>
    </row>
    <row r="80" spans="1:20" ht="15" x14ac:dyDescent="0.25">
      <c r="A80" s="110"/>
      <c r="B80" s="102">
        <f>+H39-10</f>
        <v>90</v>
      </c>
      <c r="C80" s="82">
        <f t="shared" ref="C80:C85" si="5">+SUM($H$46:$H$49)+$H$50+($E$51*B80)+SUM($H$52:$H$54)+($E$55*$C$79)</f>
        <v>451.084</v>
      </c>
      <c r="D80" s="82">
        <f t="shared" ref="D80:D85" si="6">+SUM($H$46:$H$49)+$H$50+($E$51*B80)+SUM($H$52:$H$54)+$E$55*$D$79</f>
        <v>456.084</v>
      </c>
      <c r="E80" s="82">
        <f t="shared" ref="E80:E85" si="7">+SUM($H$46:$H$49)+$H$50+($E$51*B80)+SUM($H$52:$H$54)+$E$55*$E$79</f>
        <v>461.084</v>
      </c>
      <c r="F80" s="82">
        <f t="shared" ref="F80:F85" si="8">+SUM($H$46:$H$49)+$H$50+($E$51*B80)+SUM($H$52:$H$54)+$E$55*$F$79</f>
        <v>466.084</v>
      </c>
      <c r="G80" s="82">
        <f t="shared" ref="G80:G85" si="9">+SUM($H$46:$H$49)+$H$50+($E$51*B80)+SUM($H$52:$H$54)+$E$55*$G$79</f>
        <v>471.084</v>
      </c>
      <c r="H80" s="82">
        <f t="shared" ref="H80:H85" si="10">+SUM($H$46:$H$49)+$H$50+($E$51*B80)+SUM($H$52:$H$54)+$E$55*$H$79</f>
        <v>476.084</v>
      </c>
      <c r="I80" s="82">
        <f t="shared" ref="I80:I85" si="11">+SUM($H$46:$H$49)+$H$50+($E$51*B80)+SUM($H$52:$H$54)+$E$55*$I$79</f>
        <v>481.084</v>
      </c>
    </row>
    <row r="81" spans="1:34" ht="15" x14ac:dyDescent="0.25">
      <c r="A81" s="62"/>
      <c r="B81" s="102">
        <f>+H39</f>
        <v>100</v>
      </c>
      <c r="C81" s="82">
        <f t="shared" si="5"/>
        <v>453.18399999999997</v>
      </c>
      <c r="D81" s="82">
        <f t="shared" si="6"/>
        <v>458.18399999999997</v>
      </c>
      <c r="E81" s="82">
        <f t="shared" si="7"/>
        <v>463.18399999999997</v>
      </c>
      <c r="F81" s="82">
        <f t="shared" si="8"/>
        <v>468.18399999999997</v>
      </c>
      <c r="G81" s="82">
        <f t="shared" si="9"/>
        <v>473.18399999999997</v>
      </c>
      <c r="H81" s="82">
        <f t="shared" si="10"/>
        <v>478.18399999999997</v>
      </c>
      <c r="I81" s="82">
        <f>+SUM($H$46:$H$49)+$H$50+($E$51*B81)+SUM($H$52:$H$54)+$E$55*$I$79</f>
        <v>483.18399999999997</v>
      </c>
    </row>
    <row r="82" spans="1:34" ht="15" x14ac:dyDescent="0.25">
      <c r="A82" s="62"/>
      <c r="B82" s="102">
        <f>+B81+10</f>
        <v>110</v>
      </c>
      <c r="C82" s="82">
        <f t="shared" si="5"/>
        <v>455.28399999999999</v>
      </c>
      <c r="D82" s="82">
        <f t="shared" si="6"/>
        <v>460.28399999999999</v>
      </c>
      <c r="E82" s="82">
        <f t="shared" si="7"/>
        <v>465.28399999999999</v>
      </c>
      <c r="F82" s="82">
        <f t="shared" si="8"/>
        <v>470.28399999999999</v>
      </c>
      <c r="G82" s="82">
        <f t="shared" si="9"/>
        <v>475.28399999999999</v>
      </c>
      <c r="H82" s="82">
        <f t="shared" si="10"/>
        <v>480.28399999999999</v>
      </c>
      <c r="I82" s="82">
        <f t="shared" si="11"/>
        <v>485.28399999999999</v>
      </c>
    </row>
    <row r="83" spans="1:34" ht="15" x14ac:dyDescent="0.25">
      <c r="A83" s="62"/>
      <c r="B83" s="102">
        <f t="shared" ref="B83:B85" si="12">+B82+10</f>
        <v>120</v>
      </c>
      <c r="C83" s="82">
        <f t="shared" si="5"/>
        <v>457.38400000000001</v>
      </c>
      <c r="D83" s="82">
        <f t="shared" si="6"/>
        <v>462.38400000000001</v>
      </c>
      <c r="E83" s="82">
        <f t="shared" si="7"/>
        <v>467.38400000000001</v>
      </c>
      <c r="F83" s="82">
        <f t="shared" si="8"/>
        <v>472.38400000000001</v>
      </c>
      <c r="G83" s="82">
        <f t="shared" si="9"/>
        <v>477.38400000000001</v>
      </c>
      <c r="H83" s="82">
        <f t="shared" si="10"/>
        <v>482.38400000000001</v>
      </c>
      <c r="I83" s="82">
        <f t="shared" si="11"/>
        <v>487.38400000000001</v>
      </c>
    </row>
    <row r="84" spans="1:34" ht="15" x14ac:dyDescent="0.25">
      <c r="A84" s="62"/>
      <c r="B84" s="102">
        <f t="shared" si="12"/>
        <v>130</v>
      </c>
      <c r="C84" s="82">
        <f t="shared" si="5"/>
        <v>459.48399999999998</v>
      </c>
      <c r="D84" s="82">
        <f t="shared" si="6"/>
        <v>464.48399999999998</v>
      </c>
      <c r="E84" s="82">
        <f t="shared" si="7"/>
        <v>469.48399999999998</v>
      </c>
      <c r="F84" s="82">
        <f t="shared" si="8"/>
        <v>474.48399999999998</v>
      </c>
      <c r="G84" s="82">
        <f t="shared" si="9"/>
        <v>479.48399999999998</v>
      </c>
      <c r="H84" s="82">
        <f t="shared" si="10"/>
        <v>484.48399999999998</v>
      </c>
      <c r="I84" s="82">
        <f t="shared" si="11"/>
        <v>489.48399999999998</v>
      </c>
    </row>
    <row r="85" spans="1:34" ht="15" x14ac:dyDescent="0.25">
      <c r="A85" s="62"/>
      <c r="B85" s="102">
        <f t="shared" si="12"/>
        <v>140</v>
      </c>
      <c r="C85" s="82">
        <f t="shared" si="5"/>
        <v>461.584</v>
      </c>
      <c r="D85" s="82">
        <f t="shared" si="6"/>
        <v>466.584</v>
      </c>
      <c r="E85" s="82">
        <f t="shared" si="7"/>
        <v>471.584</v>
      </c>
      <c r="F85" s="82">
        <f t="shared" si="8"/>
        <v>476.584</v>
      </c>
      <c r="G85" s="82">
        <f t="shared" si="9"/>
        <v>481.584</v>
      </c>
      <c r="H85" s="82">
        <f t="shared" si="10"/>
        <v>486.584</v>
      </c>
      <c r="I85" s="82">
        <f t="shared" si="11"/>
        <v>491.584</v>
      </c>
    </row>
    <row r="87" spans="1:34" s="152" customFormat="1" ht="14.25" x14ac:dyDescent="0.2">
      <c r="B87" s="30" t="s">
        <v>201</v>
      </c>
      <c r="C87" s="30"/>
      <c r="D87" s="153">
        <f>I20</f>
        <v>0.85</v>
      </c>
      <c r="E87" s="30" t="s">
        <v>202</v>
      </c>
      <c r="F87" s="30"/>
      <c r="G87" s="30"/>
      <c r="H87" s="30"/>
      <c r="I87" s="30"/>
      <c r="J87" s="154"/>
      <c r="K87" s="154"/>
      <c r="L87" s="154"/>
      <c r="M87" s="154"/>
      <c r="N87" s="154"/>
      <c r="O87" s="154"/>
      <c r="P87" s="154"/>
      <c r="Q87" s="154"/>
      <c r="R87" s="154"/>
      <c r="S87" s="154"/>
      <c r="T87" s="154"/>
      <c r="U87" s="154"/>
      <c r="V87" s="154"/>
      <c r="W87" s="154"/>
      <c r="X87" s="154"/>
      <c r="Y87" s="154"/>
      <c r="Z87" s="154"/>
      <c r="AA87" s="154"/>
      <c r="AB87" s="154"/>
      <c r="AC87" s="154"/>
      <c r="AD87" s="154"/>
      <c r="AE87" s="154"/>
      <c r="AF87" s="154"/>
      <c r="AG87" s="154"/>
      <c r="AH87" s="154"/>
    </row>
    <row r="88" spans="1:34" ht="15" x14ac:dyDescent="0.25">
      <c r="B88" s="125"/>
      <c r="C88" s="264" t="s">
        <v>199</v>
      </c>
      <c r="D88" s="264"/>
      <c r="E88" s="264"/>
      <c r="F88" s="264"/>
      <c r="G88" s="264"/>
      <c r="H88" s="264"/>
      <c r="I88" s="264"/>
    </row>
    <row r="89" spans="1:34" ht="15" x14ac:dyDescent="0.25">
      <c r="B89" s="150" t="s">
        <v>198</v>
      </c>
      <c r="C89" s="149">
        <f>D89+5</f>
        <v>173</v>
      </c>
      <c r="D89" s="149">
        <f>E89+5</f>
        <v>168</v>
      </c>
      <c r="E89" s="149">
        <f>F89+5</f>
        <v>163</v>
      </c>
      <c r="F89" s="149">
        <f>D29</f>
        <v>158</v>
      </c>
      <c r="G89" s="149">
        <f>F89-5</f>
        <v>153</v>
      </c>
      <c r="H89" s="149">
        <f>G89-5</f>
        <v>148</v>
      </c>
      <c r="I89" s="149">
        <f>H89-5</f>
        <v>143</v>
      </c>
    </row>
    <row r="90" spans="1:34" ht="15" x14ac:dyDescent="0.25">
      <c r="B90" s="159">
        <f t="shared" ref="B90:B91" si="13">B91-50</f>
        <v>350</v>
      </c>
      <c r="C90" s="62">
        <f>(($C$89*$B90/100)*$I$20)-$I$70</f>
        <v>-100.90043333333335</v>
      </c>
      <c r="D90" s="62">
        <f>(($D$89*$B90/100)*$I$20)-$I$70</f>
        <v>-115.7754333333333</v>
      </c>
      <c r="E90" s="62">
        <f>(($E$89*$B90/100)*$I$20)-$I$70</f>
        <v>-130.6504333333333</v>
      </c>
      <c r="F90" s="62">
        <f>(($F$89*$B90/100)*$I$20)-$I$70</f>
        <v>-145.5254333333333</v>
      </c>
      <c r="G90" s="62">
        <f>(($G$89*$B90/100)*$I$20)-$I$70</f>
        <v>-160.4004333333333</v>
      </c>
      <c r="H90" s="62">
        <f>(($H$89*$B90/100)*$I$20)-$I$70</f>
        <v>-175.2754333333333</v>
      </c>
      <c r="I90" s="62">
        <f>(($I$89*$B90/100)*$I$20)-$I$70</f>
        <v>-190.1504333333333</v>
      </c>
    </row>
    <row r="91" spans="1:34" ht="15" x14ac:dyDescent="0.25">
      <c r="B91" s="159">
        <f t="shared" si="13"/>
        <v>400</v>
      </c>
      <c r="C91" s="62">
        <f t="shared" ref="C91:C95" si="14">(($C$89*$B91/100)*$I$20)-$I$70</f>
        <v>-27.375433333333376</v>
      </c>
      <c r="D91" s="62">
        <f t="shared" ref="D91:D95" si="15">(($D$89*$B91/100)*$I$20)-$I$70</f>
        <v>-44.375433333333376</v>
      </c>
      <c r="E91" s="62">
        <f t="shared" ref="E91:E95" si="16">(($E$89*$B91/100)*$I$20)-$I$70</f>
        <v>-61.375433333333376</v>
      </c>
      <c r="F91" s="62">
        <f t="shared" ref="F91:F95" si="17">(($F$89*$B91/100)*$I$20)-$I$70</f>
        <v>-78.375433333333376</v>
      </c>
      <c r="G91" s="62">
        <f t="shared" ref="G91:G95" si="18">(($G$89*$B91/100)*$I$20)-$I$70</f>
        <v>-95.375433333333376</v>
      </c>
      <c r="H91" s="62">
        <f t="shared" ref="H91:H95" si="19">(($H$89*$B91/100)*$I$20)-$I$70</f>
        <v>-112.37543333333332</v>
      </c>
      <c r="I91" s="62">
        <f t="shared" ref="I91:I95" si="20">(($I$89*$B91/100)*$I$20)-$I$70</f>
        <v>-129.37543333333332</v>
      </c>
    </row>
    <row r="92" spans="1:34" ht="15" x14ac:dyDescent="0.25">
      <c r="B92" s="159">
        <f>B93-50</f>
        <v>450</v>
      </c>
      <c r="C92" s="62">
        <f t="shared" si="14"/>
        <v>46.149566666666715</v>
      </c>
      <c r="D92" s="62">
        <f t="shared" si="15"/>
        <v>27.024566666666715</v>
      </c>
      <c r="E92" s="62">
        <f t="shared" si="16"/>
        <v>7.8995666666667148</v>
      </c>
      <c r="F92" s="62">
        <f t="shared" si="17"/>
        <v>-11.225433333333285</v>
      </c>
      <c r="G92" s="62">
        <f t="shared" si="18"/>
        <v>-30.350433333333285</v>
      </c>
      <c r="H92" s="62">
        <f t="shared" si="19"/>
        <v>-49.475433333333285</v>
      </c>
      <c r="I92" s="62">
        <f t="shared" si="20"/>
        <v>-68.600433333333285</v>
      </c>
    </row>
    <row r="93" spans="1:34" ht="15" x14ac:dyDescent="0.25">
      <c r="B93" s="159">
        <f>D28*100</f>
        <v>500</v>
      </c>
      <c r="C93" s="62">
        <f t="shared" si="14"/>
        <v>119.67456666666669</v>
      </c>
      <c r="D93" s="62">
        <f t="shared" si="15"/>
        <v>98.424566666666692</v>
      </c>
      <c r="E93" s="62">
        <f t="shared" si="16"/>
        <v>77.174566666666692</v>
      </c>
      <c r="F93" s="62">
        <f t="shared" si="17"/>
        <v>55.924566666666692</v>
      </c>
      <c r="G93" s="62">
        <f t="shared" si="18"/>
        <v>34.674566666666692</v>
      </c>
      <c r="H93" s="62">
        <f t="shared" si="19"/>
        <v>13.424566666666692</v>
      </c>
      <c r="I93" s="62">
        <f t="shared" si="20"/>
        <v>-7.8254333333333079</v>
      </c>
    </row>
    <row r="94" spans="1:34" ht="15" x14ac:dyDescent="0.25">
      <c r="B94" s="151">
        <f t="shared" ref="B94:B95" si="21">50+B93</f>
        <v>550</v>
      </c>
      <c r="C94" s="62">
        <f t="shared" si="14"/>
        <v>193.19956666666667</v>
      </c>
      <c r="D94" s="62">
        <f t="shared" si="15"/>
        <v>169.82456666666667</v>
      </c>
      <c r="E94" s="62">
        <f t="shared" si="16"/>
        <v>146.44956666666667</v>
      </c>
      <c r="F94" s="62">
        <f t="shared" si="17"/>
        <v>123.07456666666667</v>
      </c>
      <c r="G94" s="62">
        <f t="shared" si="18"/>
        <v>99.699566666666669</v>
      </c>
      <c r="H94" s="62">
        <f t="shared" si="19"/>
        <v>76.324566666666669</v>
      </c>
      <c r="I94" s="62">
        <f t="shared" si="20"/>
        <v>52.949566666666669</v>
      </c>
    </row>
    <row r="95" spans="1:34" ht="15" x14ac:dyDescent="0.25">
      <c r="B95" s="151">
        <f t="shared" si="21"/>
        <v>600</v>
      </c>
      <c r="C95" s="62">
        <f t="shared" si="14"/>
        <v>266.72456666666665</v>
      </c>
      <c r="D95" s="62">
        <f t="shared" si="15"/>
        <v>241.22456666666665</v>
      </c>
      <c r="E95" s="62">
        <f t="shared" si="16"/>
        <v>215.72456666666665</v>
      </c>
      <c r="F95" s="62">
        <f t="shared" si="17"/>
        <v>190.22456666666665</v>
      </c>
      <c r="G95" s="62">
        <f t="shared" si="18"/>
        <v>164.72456666666665</v>
      </c>
      <c r="H95" s="62">
        <f t="shared" si="19"/>
        <v>139.22456666666665</v>
      </c>
      <c r="I95" s="62">
        <f t="shared" si="20"/>
        <v>113.72456666666665</v>
      </c>
    </row>
    <row r="97" spans="2:34" s="152" customFormat="1" ht="14.25" x14ac:dyDescent="0.2">
      <c r="B97" s="30" t="s">
        <v>201</v>
      </c>
      <c r="C97" s="30"/>
      <c r="D97" s="153">
        <f>D87+0.05</f>
        <v>0.9</v>
      </c>
      <c r="E97" s="30" t="s">
        <v>202</v>
      </c>
      <c r="F97" s="30"/>
      <c r="G97" s="30"/>
      <c r="H97" s="30"/>
      <c r="I97" s="30"/>
      <c r="J97" s="154"/>
      <c r="K97" s="154"/>
      <c r="L97" s="154"/>
      <c r="M97" s="154"/>
      <c r="N97" s="154"/>
      <c r="O97" s="154"/>
      <c r="P97" s="154"/>
      <c r="Q97" s="154"/>
      <c r="R97" s="154"/>
      <c r="S97" s="154"/>
      <c r="T97" s="154"/>
      <c r="U97" s="154"/>
      <c r="V97" s="154"/>
      <c r="W97" s="154"/>
      <c r="X97" s="154"/>
      <c r="Y97" s="154"/>
      <c r="Z97" s="154"/>
      <c r="AA97" s="154"/>
      <c r="AB97" s="154"/>
      <c r="AC97" s="154"/>
      <c r="AD97" s="154"/>
      <c r="AE97" s="154"/>
      <c r="AF97" s="154"/>
      <c r="AG97" s="154"/>
      <c r="AH97" s="154"/>
    </row>
    <row r="98" spans="2:34" ht="15" x14ac:dyDescent="0.25">
      <c r="B98" s="125"/>
      <c r="C98" s="264" t="s">
        <v>199</v>
      </c>
      <c r="D98" s="264"/>
      <c r="E98" s="264"/>
      <c r="F98" s="264"/>
      <c r="G98" s="264"/>
      <c r="H98" s="264"/>
      <c r="I98" s="264"/>
    </row>
    <row r="99" spans="2:34" ht="15" x14ac:dyDescent="0.25">
      <c r="B99" s="150" t="s">
        <v>198</v>
      </c>
      <c r="C99" s="149">
        <f>D99+5</f>
        <v>173</v>
      </c>
      <c r="D99" s="149">
        <f>E99+5</f>
        <v>168</v>
      </c>
      <c r="E99" s="149">
        <f>F99+5</f>
        <v>163</v>
      </c>
      <c r="F99" s="149">
        <f>D29</f>
        <v>158</v>
      </c>
      <c r="G99" s="149">
        <f>F99-5</f>
        <v>153</v>
      </c>
      <c r="H99" s="149">
        <f>G99-5</f>
        <v>148</v>
      </c>
      <c r="I99" s="149">
        <f>H99-5</f>
        <v>143</v>
      </c>
    </row>
    <row r="100" spans="2:34" ht="15" x14ac:dyDescent="0.25">
      <c r="B100" s="159">
        <f t="shared" ref="B100:B101" si="22">B101-50</f>
        <v>350</v>
      </c>
      <c r="C100" s="62">
        <f>(($C$99*$B100/100)*($D$97))-$I$70</f>
        <v>-70.625433333333262</v>
      </c>
      <c r="D100" s="62">
        <f>(($D$99*$B100/100)*($D$97))-$I$70</f>
        <v>-86.375433333333262</v>
      </c>
      <c r="E100" s="62">
        <f>(($E$99*$B100/100)*($D$97))-$I$70</f>
        <v>-102.12543333333326</v>
      </c>
      <c r="F100" s="62">
        <f>(($F$99*$B100/100)*($D$97))-$I$70</f>
        <v>-117.87543333333332</v>
      </c>
      <c r="G100" s="62">
        <f>(($G$99*$B100/100)*($D$97))-$I$70</f>
        <v>-133.62543333333332</v>
      </c>
      <c r="H100" s="62">
        <f>(($H$99*$B100/100)*($D$97))-$I$70</f>
        <v>-149.37543333333332</v>
      </c>
      <c r="I100" s="62">
        <f>(($I$99*$B100/100)*($D$97))-$I$70</f>
        <v>-165.12543333333332</v>
      </c>
    </row>
    <row r="101" spans="2:34" ht="15" x14ac:dyDescent="0.25">
      <c r="B101" s="159">
        <f t="shared" si="22"/>
        <v>400</v>
      </c>
      <c r="C101" s="62">
        <f>(($C$99*$B101/100)*(D97))-$I$70</f>
        <v>7.2245666666667603</v>
      </c>
      <c r="D101" s="62">
        <f t="shared" ref="D101:D105" si="23">(($D$99*$B101/100)*($D$97))-$I$70</f>
        <v>-10.77543333333324</v>
      </c>
      <c r="E101" s="62">
        <f t="shared" ref="E101:E105" si="24">(($E$99*$B101/100)*($D$97))-$I$70</f>
        <v>-28.77543333333324</v>
      </c>
      <c r="F101" s="62">
        <f t="shared" ref="F101:F105" si="25">(($F$99*$B101/100)*($D$97))-$I$70</f>
        <v>-46.77543333333324</v>
      </c>
      <c r="G101" s="62">
        <f t="shared" ref="G101:G105" si="26">(($G$99*$B101/100)*($D$97))-$I$70</f>
        <v>-64.77543333333324</v>
      </c>
      <c r="H101" s="62">
        <f t="shared" ref="H101:H105" si="27">(($H$99*$B101/100)*($D$97))-$I$70</f>
        <v>-82.77543333333324</v>
      </c>
      <c r="I101" s="62">
        <f t="shared" ref="I101:I105" si="28">(($I$99*$B101/100)*($D$97))-$I$70</f>
        <v>-100.77543333333324</v>
      </c>
    </row>
    <row r="102" spans="2:34" ht="15" x14ac:dyDescent="0.25">
      <c r="B102" s="159">
        <f>B103-50</f>
        <v>450</v>
      </c>
      <c r="C102" s="62">
        <f>(($C$99*$B102/100)*(D97))-$I$70</f>
        <v>85.074566666666669</v>
      </c>
      <c r="D102" s="62">
        <f t="shared" si="23"/>
        <v>64.824566666666669</v>
      </c>
      <c r="E102" s="62">
        <f t="shared" si="24"/>
        <v>44.574566666666669</v>
      </c>
      <c r="F102" s="62">
        <f t="shared" si="25"/>
        <v>24.324566666666669</v>
      </c>
      <c r="G102" s="62">
        <f t="shared" si="26"/>
        <v>4.0745666666666693</v>
      </c>
      <c r="H102" s="62">
        <f t="shared" si="27"/>
        <v>-16.175433333333331</v>
      </c>
      <c r="I102" s="62">
        <f t="shared" si="28"/>
        <v>-36.425433333333331</v>
      </c>
    </row>
    <row r="103" spans="2:34" ht="15" x14ac:dyDescent="0.25">
      <c r="B103" s="159">
        <f>D28*100</f>
        <v>500</v>
      </c>
      <c r="C103" s="62">
        <f>(($C$99*$B103/100)*(D97))-$I$70</f>
        <v>162.92456666666669</v>
      </c>
      <c r="D103" s="62">
        <f t="shared" si="23"/>
        <v>140.42456666666669</v>
      </c>
      <c r="E103" s="62">
        <f t="shared" si="24"/>
        <v>117.92456666666669</v>
      </c>
      <c r="F103" s="62">
        <f t="shared" si="25"/>
        <v>95.424566666666692</v>
      </c>
      <c r="G103" s="62">
        <f t="shared" si="26"/>
        <v>72.924566666666692</v>
      </c>
      <c r="H103" s="62">
        <f t="shared" si="27"/>
        <v>50.424566666666692</v>
      </c>
      <c r="I103" s="62">
        <f t="shared" si="28"/>
        <v>27.924566666666692</v>
      </c>
    </row>
    <row r="104" spans="2:34" ht="15" x14ac:dyDescent="0.25">
      <c r="B104" s="151">
        <f t="shared" ref="B104:B105" si="29">50+B103</f>
        <v>550</v>
      </c>
      <c r="C104" s="62">
        <f>(($C$99*$B104/100)*(D97))-$I$70</f>
        <v>240.77456666666671</v>
      </c>
      <c r="D104" s="62">
        <f t="shared" si="23"/>
        <v>216.02456666666671</v>
      </c>
      <c r="E104" s="62">
        <f t="shared" si="24"/>
        <v>191.27456666666671</v>
      </c>
      <c r="F104" s="62">
        <f t="shared" si="25"/>
        <v>166.52456666666671</v>
      </c>
      <c r="G104" s="62">
        <f t="shared" si="26"/>
        <v>141.77456666666671</v>
      </c>
      <c r="H104" s="62">
        <f t="shared" si="27"/>
        <v>117.02456666666671</v>
      </c>
      <c r="I104" s="62">
        <f t="shared" si="28"/>
        <v>92.274566666666715</v>
      </c>
    </row>
    <row r="105" spans="2:34" ht="15" x14ac:dyDescent="0.25">
      <c r="B105" s="151">
        <f t="shared" si="29"/>
        <v>600</v>
      </c>
      <c r="C105" s="62">
        <f>(($C$99*$B105/100)*(D97))-$I$70</f>
        <v>318.62456666666674</v>
      </c>
      <c r="D105" s="62">
        <f t="shared" si="23"/>
        <v>291.62456666666674</v>
      </c>
      <c r="E105" s="62">
        <f t="shared" si="24"/>
        <v>264.62456666666674</v>
      </c>
      <c r="F105" s="62">
        <f t="shared" si="25"/>
        <v>237.62456666666674</v>
      </c>
      <c r="G105" s="62">
        <f t="shared" si="26"/>
        <v>210.62456666666674</v>
      </c>
      <c r="H105" s="62">
        <f t="shared" si="27"/>
        <v>183.62456666666674</v>
      </c>
      <c r="I105" s="62">
        <f t="shared" si="28"/>
        <v>156.62456666666674</v>
      </c>
    </row>
    <row r="106" spans="2:34" ht="15" x14ac:dyDescent="0.25">
      <c r="E106" s="62"/>
    </row>
  </sheetData>
  <sheetProtection sheet="1" objects="1" scenarios="1"/>
  <mergeCells count="13">
    <mergeCell ref="C98:I98"/>
    <mergeCell ref="A78:B79"/>
    <mergeCell ref="J23:M25"/>
    <mergeCell ref="J16:M17"/>
    <mergeCell ref="J34:M42"/>
    <mergeCell ref="C88:I88"/>
    <mergeCell ref="A1:I1"/>
    <mergeCell ref="A4:I8"/>
    <mergeCell ref="A9:I9"/>
    <mergeCell ref="G31:G33"/>
    <mergeCell ref="F32:F33"/>
    <mergeCell ref="H32:H33"/>
    <mergeCell ref="H2:I2"/>
  </mergeCells>
  <conditionalFormatting sqref="H24">
    <cfRule type="iconSet" priority="12">
      <iconSet>
        <cfvo type="percent" val="0"/>
        <cfvo type="percent" val="33"/>
        <cfvo type="percent" val="67"/>
      </iconSet>
    </cfRule>
  </conditionalFormatting>
  <conditionalFormatting sqref="C80:I85">
    <cfRule type="colorScale" priority="6">
      <colorScale>
        <cfvo type="min"/>
        <cfvo type="num" val="$I$56"/>
        <cfvo type="max"/>
        <color rgb="FF63BE7B"/>
        <color rgb="FFFFEB84"/>
        <color rgb="FFF8696B"/>
      </colorScale>
    </cfRule>
  </conditionalFormatting>
  <conditionalFormatting sqref="C90:I95">
    <cfRule type="colorScale" priority="4">
      <colorScale>
        <cfvo type="min"/>
        <cfvo type="num" val="0"/>
        <cfvo type="max"/>
        <color rgb="FFF8696B"/>
        <color rgb="FFFFEB84"/>
        <color rgb="FF63BE7B"/>
      </colorScale>
    </cfRule>
    <cfRule type="colorScale" priority="5">
      <colorScale>
        <cfvo type="num" val="10"/>
        <cfvo type="percentile" val="50"/>
        <cfvo type="max"/>
        <color rgb="FFF8696B"/>
        <color rgb="FFFFEB84"/>
        <color rgb="FF63BE7B"/>
      </colorScale>
    </cfRule>
    <cfRule type="colorScale" priority="10">
      <colorScale>
        <cfvo type="min"/>
        <cfvo type="percentile" val="50"/>
        <cfvo type="max"/>
        <color rgb="FFF8696B"/>
        <color rgb="FFFFEB84"/>
        <color rgb="FF63BE7B"/>
      </colorScale>
    </cfRule>
  </conditionalFormatting>
  <conditionalFormatting sqref="C100:I105 E106">
    <cfRule type="colorScale" priority="7">
      <colorScale>
        <cfvo type="num" val="10"/>
        <cfvo type="percentile" val="50"/>
        <cfvo type="max"/>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C90:I96">
    <cfRule type="colorScale" priority="3">
      <colorScale>
        <cfvo type="num" val="0"/>
        <cfvo type="percentile" val="50"/>
        <cfvo type="max"/>
        <color rgb="FFF8696B"/>
        <color rgb="FFFFEB84"/>
        <color rgb="FF63BE7B"/>
      </colorScale>
    </cfRule>
  </conditionalFormatting>
  <conditionalFormatting sqref="C100:I105">
    <cfRule type="colorScale" priority="1">
      <colorScale>
        <cfvo type="num" val="0"/>
        <cfvo type="percentile" val="50"/>
        <cfvo type="max"/>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horizontalDpi="300" verticalDpi="300" r:id="rId1"/>
  <rowBreaks count="2" manualBreakCount="2">
    <brk id="43" max="16383" man="1"/>
    <brk id="7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9"/>
  </sheetPr>
  <dimension ref="A1:P161"/>
  <sheetViews>
    <sheetView zoomScaleNormal="100" workbookViewId="0">
      <selection activeCell="I2" sqref="I2"/>
    </sheetView>
  </sheetViews>
  <sheetFormatPr defaultColWidth="17.25" defaultRowHeight="15" x14ac:dyDescent="0.25"/>
  <cols>
    <col min="1" max="1" width="4.75" style="9" customWidth="1"/>
    <col min="2" max="2" width="8.5" style="9" customWidth="1"/>
    <col min="3" max="3" width="5.875" style="9" customWidth="1"/>
    <col min="4" max="4" width="9.75" style="9" customWidth="1"/>
    <col min="5" max="5" width="10.5" style="9" customWidth="1"/>
    <col min="6" max="6" width="8.75" style="9" customWidth="1"/>
    <col min="7" max="7" width="11.375" style="9" customWidth="1"/>
    <col min="8" max="8" width="8.625" style="9" customWidth="1"/>
    <col min="9" max="9" width="14.25" style="9" customWidth="1"/>
    <col min="10" max="11" width="10.75" style="9" customWidth="1"/>
    <col min="12" max="12" width="10.875" style="9" customWidth="1"/>
    <col min="13" max="16" width="10.75" style="9" customWidth="1"/>
    <col min="17" max="16384" width="17.25" style="9"/>
  </cols>
  <sheetData>
    <row r="1" spans="1:16" ht="23.25" x14ac:dyDescent="0.35">
      <c r="A1" s="251" t="s">
        <v>215</v>
      </c>
      <c r="B1" s="268"/>
      <c r="C1" s="268"/>
      <c r="D1" s="268"/>
      <c r="E1" s="268"/>
      <c r="F1" s="268"/>
      <c r="G1" s="268"/>
      <c r="H1" s="268"/>
      <c r="I1" s="268"/>
    </row>
    <row r="2" spans="1:16" x14ac:dyDescent="0.25">
      <c r="A2" s="277"/>
      <c r="B2" s="277"/>
      <c r="C2" s="277"/>
      <c r="D2" s="277"/>
      <c r="E2" s="277"/>
      <c r="F2" s="277"/>
      <c r="G2" s="277"/>
      <c r="H2" s="277"/>
      <c r="I2" s="233">
        <f>+'Step 1 - Feed Cost Input Sheet '!F20</f>
        <v>42417</v>
      </c>
    </row>
    <row r="3" spans="1:16" x14ac:dyDescent="0.25">
      <c r="B3" s="3" t="s">
        <v>41</v>
      </c>
      <c r="C3" s="24">
        <f>(D21-D26)*100</f>
        <v>300</v>
      </c>
      <c r="D3" s="2" t="s">
        <v>236</v>
      </c>
      <c r="E3" s="22">
        <f>I26+I27</f>
        <v>3</v>
      </c>
      <c r="F3" s="2" t="s">
        <v>237</v>
      </c>
      <c r="G3" s="9">
        <f>+C3/(E3*30)</f>
        <v>3.3333333333333335</v>
      </c>
      <c r="H3" s="1" t="s">
        <v>238</v>
      </c>
    </row>
    <row r="5" spans="1:16" ht="15" customHeight="1" x14ac:dyDescent="0.25">
      <c r="A5" s="247" t="s">
        <v>111</v>
      </c>
      <c r="B5" s="247"/>
      <c r="C5" s="247"/>
      <c r="D5" s="247"/>
      <c r="E5" s="247"/>
      <c r="F5" s="247"/>
      <c r="G5" s="247"/>
      <c r="H5" s="247"/>
      <c r="I5" s="247"/>
    </row>
    <row r="6" spans="1:16" x14ac:dyDescent="0.25">
      <c r="A6" s="247"/>
      <c r="B6" s="247"/>
      <c r="C6" s="247"/>
      <c r="D6" s="247"/>
      <c r="E6" s="247"/>
      <c r="F6" s="247"/>
      <c r="G6" s="247"/>
      <c r="H6" s="247"/>
      <c r="I6" s="247"/>
    </row>
    <row r="7" spans="1:16" ht="12" customHeight="1" x14ac:dyDescent="0.25">
      <c r="A7" s="247"/>
      <c r="B7" s="247"/>
      <c r="C7" s="247"/>
      <c r="D7" s="247"/>
      <c r="E7" s="247"/>
      <c r="F7" s="247"/>
      <c r="G7" s="247"/>
      <c r="H7" s="247"/>
      <c r="I7" s="247"/>
    </row>
    <row r="8" spans="1:16" ht="15" customHeight="1" x14ac:dyDescent="0.25">
      <c r="A8" s="247"/>
      <c r="B8" s="247"/>
      <c r="C8" s="247"/>
      <c r="D8" s="247"/>
      <c r="E8" s="247"/>
      <c r="F8" s="247"/>
      <c r="G8" s="247"/>
      <c r="H8" s="247"/>
      <c r="I8" s="247"/>
    </row>
    <row r="9" spans="1:16" ht="16.5" customHeight="1" x14ac:dyDescent="0.25">
      <c r="A9" s="247"/>
      <c r="B9" s="247"/>
      <c r="C9" s="247"/>
      <c r="D9" s="247"/>
      <c r="E9" s="247"/>
      <c r="F9" s="247"/>
      <c r="G9" s="247"/>
      <c r="H9" s="247"/>
      <c r="I9" s="247"/>
    </row>
    <row r="10" spans="1:16" x14ac:dyDescent="0.25">
      <c r="A10" s="278" t="s">
        <v>0</v>
      </c>
      <c r="B10" s="278"/>
      <c r="C10" s="278"/>
      <c r="D10" s="278"/>
      <c r="E10" s="278"/>
      <c r="F10" s="278"/>
      <c r="G10" s="278"/>
      <c r="H10" s="278"/>
      <c r="I10" s="278"/>
    </row>
    <row r="11" spans="1:16" x14ac:dyDescent="0.25">
      <c r="A11" s="279" t="s">
        <v>1</v>
      </c>
      <c r="B11" s="279"/>
      <c r="C11" s="279"/>
      <c r="D11" s="279"/>
      <c r="E11" s="279"/>
      <c r="F11" s="279"/>
      <c r="G11" s="279"/>
      <c r="H11" s="279"/>
      <c r="I11" s="279"/>
      <c r="J11" s="20"/>
      <c r="P11" s="25"/>
    </row>
    <row r="12" spans="1:16" ht="7.5" customHeight="1" x14ac:dyDescent="0.25">
      <c r="J12" s="20"/>
    </row>
    <row r="13" spans="1:16" x14ac:dyDescent="0.25">
      <c r="A13" s="9" t="s">
        <v>2</v>
      </c>
      <c r="J13" s="20"/>
    </row>
    <row r="14" spans="1:16" x14ac:dyDescent="0.25">
      <c r="A14" s="26" t="s">
        <v>120</v>
      </c>
      <c r="C14" s="161" t="s">
        <v>210</v>
      </c>
      <c r="H14" s="1" t="s">
        <v>211</v>
      </c>
      <c r="J14" s="20"/>
    </row>
    <row r="15" spans="1:16" x14ac:dyDescent="0.25">
      <c r="A15" s="27"/>
      <c r="D15" s="27"/>
      <c r="G15" s="27"/>
      <c r="J15" s="20"/>
    </row>
    <row r="16" spans="1:16" x14ac:dyDescent="0.25">
      <c r="A16" s="20"/>
      <c r="D16" s="27"/>
      <c r="J16" s="20"/>
    </row>
    <row r="17" spans="1:10" ht="7.5" customHeight="1" x14ac:dyDescent="0.25">
      <c r="A17" s="26"/>
      <c r="C17" s="27"/>
    </row>
    <row r="18" spans="1:10" ht="15.75" thickBot="1" x14ac:dyDescent="0.3">
      <c r="D18" s="20" t="s">
        <v>42</v>
      </c>
    </row>
    <row r="19" spans="1:10" s="30" customFormat="1" thickBot="1" x14ac:dyDescent="0.25">
      <c r="A19" s="28" t="s">
        <v>3</v>
      </c>
      <c r="B19" s="29"/>
      <c r="C19" s="29"/>
      <c r="D19" s="28" t="s">
        <v>4</v>
      </c>
      <c r="E19" s="29"/>
      <c r="F19" s="28" t="s">
        <v>3</v>
      </c>
      <c r="G19" s="29"/>
      <c r="H19" s="29"/>
      <c r="I19" s="28" t="s">
        <v>5</v>
      </c>
    </row>
    <row r="20" spans="1:10" x14ac:dyDescent="0.25">
      <c r="A20" s="14" t="s">
        <v>6</v>
      </c>
      <c r="E20" s="31" t="s">
        <v>7</v>
      </c>
      <c r="F20" s="14" t="s">
        <v>12</v>
      </c>
    </row>
    <row r="21" spans="1:10" x14ac:dyDescent="0.25">
      <c r="A21" s="20" t="s">
        <v>90</v>
      </c>
      <c r="D21" s="10">
        <v>8</v>
      </c>
      <c r="E21" s="31" t="s">
        <v>7</v>
      </c>
      <c r="F21" s="20" t="s">
        <v>98</v>
      </c>
      <c r="I21" s="10">
        <v>6</v>
      </c>
      <c r="J21" s="20" t="s">
        <v>8</v>
      </c>
    </row>
    <row r="22" spans="1:10" x14ac:dyDescent="0.25">
      <c r="A22" s="20" t="s">
        <v>91</v>
      </c>
      <c r="D22" s="76">
        <v>147</v>
      </c>
      <c r="E22" s="31" t="s">
        <v>7</v>
      </c>
      <c r="F22" s="20" t="s">
        <v>99</v>
      </c>
      <c r="I22" s="76">
        <v>6</v>
      </c>
      <c r="J22" s="20" t="s">
        <v>9</v>
      </c>
    </row>
    <row r="23" spans="1:10" x14ac:dyDescent="0.25">
      <c r="A23" s="20" t="s">
        <v>92</v>
      </c>
      <c r="D23" s="10">
        <v>1</v>
      </c>
      <c r="E23" s="31" t="s">
        <v>7</v>
      </c>
      <c r="F23" s="20" t="s">
        <v>100</v>
      </c>
      <c r="I23" s="76">
        <v>100</v>
      </c>
      <c r="J23" s="20" t="s">
        <v>10</v>
      </c>
    </row>
    <row r="24" spans="1:10" x14ac:dyDescent="0.25">
      <c r="D24" s="65"/>
      <c r="E24" s="31" t="s">
        <v>7</v>
      </c>
      <c r="I24" s="65"/>
      <c r="J24" s="20" t="s">
        <v>11</v>
      </c>
    </row>
    <row r="25" spans="1:10" x14ac:dyDescent="0.25">
      <c r="A25" s="14" t="s">
        <v>43</v>
      </c>
      <c r="D25" s="65"/>
      <c r="E25" s="31" t="s">
        <v>7</v>
      </c>
      <c r="F25" s="14" t="s">
        <v>46</v>
      </c>
      <c r="I25" s="65"/>
    </row>
    <row r="26" spans="1:10" x14ac:dyDescent="0.25">
      <c r="A26" s="20" t="s">
        <v>93</v>
      </c>
      <c r="D26" s="230">
        <v>5</v>
      </c>
      <c r="E26" s="31" t="s">
        <v>7</v>
      </c>
      <c r="F26" s="2" t="s">
        <v>229</v>
      </c>
      <c r="I26" s="13">
        <v>3</v>
      </c>
    </row>
    <row r="27" spans="1:10" x14ac:dyDescent="0.25">
      <c r="A27" s="20" t="s">
        <v>94</v>
      </c>
      <c r="D27" s="231">
        <v>190</v>
      </c>
      <c r="E27" s="31" t="s">
        <v>7</v>
      </c>
      <c r="F27" s="1" t="s">
        <v>158</v>
      </c>
      <c r="I27" s="183">
        <v>0</v>
      </c>
    </row>
    <row r="28" spans="1:10" x14ac:dyDescent="0.25">
      <c r="D28" s="65"/>
      <c r="E28" s="31" t="s">
        <v>7</v>
      </c>
    </row>
    <row r="29" spans="1:10" ht="15.75" thickBot="1" x14ac:dyDescent="0.3">
      <c r="A29" s="14" t="s">
        <v>44</v>
      </c>
      <c r="D29" s="65"/>
      <c r="E29" s="31" t="s">
        <v>7</v>
      </c>
      <c r="F29" s="12" t="s">
        <v>167</v>
      </c>
    </row>
    <row r="30" spans="1:10" ht="16.5" thickTop="1" thickBot="1" x14ac:dyDescent="0.3">
      <c r="A30" s="20" t="s">
        <v>95</v>
      </c>
      <c r="D30" s="76">
        <v>9</v>
      </c>
      <c r="E30" s="31" t="s">
        <v>7</v>
      </c>
      <c r="F30" s="9" t="s">
        <v>182</v>
      </c>
      <c r="I30" s="93">
        <v>0</v>
      </c>
    </row>
    <row r="31" spans="1:10" ht="15.75" thickTop="1" x14ac:dyDescent="0.25">
      <c r="A31" s="20" t="s">
        <v>96</v>
      </c>
      <c r="D31" s="76">
        <v>10</v>
      </c>
      <c r="E31" s="31" t="s">
        <v>7</v>
      </c>
      <c r="F31" s="9" t="s">
        <v>168</v>
      </c>
      <c r="I31" s="75">
        <v>1</v>
      </c>
    </row>
    <row r="32" spans="1:10" ht="15.75" thickBot="1" x14ac:dyDescent="0.3">
      <c r="A32" s="20" t="s">
        <v>97</v>
      </c>
      <c r="D32" s="76">
        <f>15.75</f>
        <v>15.75</v>
      </c>
      <c r="E32" s="31" t="s">
        <v>7</v>
      </c>
      <c r="F32" s="9" t="s">
        <v>144</v>
      </c>
      <c r="I32" s="74">
        <v>0.01</v>
      </c>
      <c r="J32" s="32" t="s">
        <v>38</v>
      </c>
    </row>
    <row r="33" spans="1:13" ht="16.5" customHeight="1" thickTop="1" thickBot="1" x14ac:dyDescent="0.3">
      <c r="A33" s="9" t="s">
        <v>45</v>
      </c>
      <c r="D33" s="76">
        <v>0</v>
      </c>
      <c r="E33" s="31" t="s">
        <v>7</v>
      </c>
      <c r="F33" s="9" t="s">
        <v>146</v>
      </c>
      <c r="I33" s="94">
        <v>1</v>
      </c>
      <c r="J33" s="9" t="s">
        <v>39</v>
      </c>
    </row>
    <row r="34" spans="1:13" ht="15" customHeight="1" thickTop="1" x14ac:dyDescent="0.25">
      <c r="A34" s="9" t="s">
        <v>80</v>
      </c>
      <c r="D34" s="76">
        <v>0</v>
      </c>
      <c r="E34" s="31" t="s">
        <v>7</v>
      </c>
      <c r="F34" s="15" t="s">
        <v>152</v>
      </c>
      <c r="G34" s="15"/>
      <c r="H34" s="15"/>
      <c r="I34" s="95">
        <v>10</v>
      </c>
    </row>
    <row r="35" spans="1:13" ht="15" hidden="1" customHeight="1" x14ac:dyDescent="0.25">
      <c r="D35" s="11"/>
      <c r="E35" s="31" t="s">
        <v>7</v>
      </c>
      <c r="G35" s="176"/>
    </row>
    <row r="36" spans="1:13" ht="15" hidden="1" customHeight="1" x14ac:dyDescent="0.25">
      <c r="A36" s="2"/>
      <c r="D36" s="98"/>
      <c r="E36" s="31" t="s">
        <v>7</v>
      </c>
      <c r="G36" s="176"/>
    </row>
    <row r="37" spans="1:13" ht="15" hidden="1" customHeight="1" x14ac:dyDescent="0.25">
      <c r="D37" s="140"/>
      <c r="E37" s="31" t="s">
        <v>7</v>
      </c>
      <c r="G37" s="176"/>
    </row>
    <row r="38" spans="1:13" ht="15" hidden="1" customHeight="1" x14ac:dyDescent="0.25">
      <c r="D38" s="11"/>
      <c r="G38" s="176"/>
    </row>
    <row r="39" spans="1:13" ht="15" hidden="1" customHeight="1" x14ac:dyDescent="0.25">
      <c r="D39" s="11"/>
      <c r="G39" s="176"/>
    </row>
    <row r="40" spans="1:13" ht="15" hidden="1" customHeight="1" x14ac:dyDescent="0.25">
      <c r="D40" s="11"/>
      <c r="G40" s="176"/>
    </row>
    <row r="41" spans="1:13" ht="15" hidden="1" customHeight="1" x14ac:dyDescent="0.25">
      <c r="D41" s="11"/>
      <c r="G41" s="282" t="s">
        <v>138</v>
      </c>
    </row>
    <row r="42" spans="1:13" ht="15" customHeight="1" x14ac:dyDescent="0.25">
      <c r="D42" s="11"/>
      <c r="G42" s="282"/>
    </row>
    <row r="43" spans="1:13" ht="15" customHeight="1" x14ac:dyDescent="0.25">
      <c r="A43" s="12" t="s">
        <v>82</v>
      </c>
      <c r="D43" s="31"/>
      <c r="E43" s="20"/>
      <c r="F43" s="280" t="s">
        <v>137</v>
      </c>
      <c r="G43" s="282"/>
      <c r="H43" s="34" t="s">
        <v>101</v>
      </c>
    </row>
    <row r="44" spans="1:13" ht="15" customHeight="1" x14ac:dyDescent="0.25">
      <c r="B44" s="15" t="s">
        <v>83</v>
      </c>
      <c r="C44" s="15"/>
      <c r="D44" s="15"/>
      <c r="E44" s="15"/>
      <c r="F44" s="281"/>
      <c r="G44" s="283"/>
      <c r="H44" s="57" t="s">
        <v>116</v>
      </c>
      <c r="I44" s="15" t="s">
        <v>89</v>
      </c>
    </row>
    <row r="45" spans="1:13" ht="15" customHeight="1" x14ac:dyDescent="0.25">
      <c r="B45" s="107" t="str">
        <f>+'Step 1 - Feed Cost Input Sheet '!A21</f>
        <v>Limestone</v>
      </c>
      <c r="C45" s="60"/>
      <c r="D45" s="60"/>
      <c r="F45" s="63">
        <v>0.18</v>
      </c>
      <c r="G45" s="60">
        <f>+($I$26*30)/100*F45</f>
        <v>0.16200000000000001</v>
      </c>
      <c r="H45" s="117">
        <f>+'Step 1 - Feed Cost Input Sheet '!B21</f>
        <v>10</v>
      </c>
      <c r="I45" s="60" t="s">
        <v>84</v>
      </c>
      <c r="J45" s="276"/>
      <c r="K45" s="276"/>
      <c r="L45" s="276"/>
      <c r="M45" s="276"/>
    </row>
    <row r="46" spans="1:13" x14ac:dyDescent="0.25">
      <c r="B46" s="107" t="str">
        <f>+'Step 1 - Feed Cost Input Sheet '!A22</f>
        <v>Mineral &amp; Salt</v>
      </c>
      <c r="C46" s="60"/>
      <c r="D46" s="60"/>
      <c r="F46" s="63">
        <v>0.01</v>
      </c>
      <c r="G46" s="60">
        <f>+($I$26*30)/100*F46</f>
        <v>9.0000000000000011E-3</v>
      </c>
      <c r="H46" s="117">
        <f>+'Step 1 - Feed Cost Input Sheet '!B22</f>
        <v>22</v>
      </c>
      <c r="I46" s="60" t="s">
        <v>84</v>
      </c>
      <c r="J46" s="276"/>
      <c r="K46" s="276"/>
      <c r="L46" s="276"/>
      <c r="M46" s="276"/>
    </row>
    <row r="47" spans="1:13" x14ac:dyDescent="0.25">
      <c r="B47" s="107" t="str">
        <f>+'Step 1 - Feed Cost Input Sheet '!A23</f>
        <v>Dry Corn</v>
      </c>
      <c r="C47" s="60"/>
      <c r="D47" s="60"/>
      <c r="F47" s="63">
        <v>2.5</v>
      </c>
      <c r="G47" s="60">
        <f>+($I$26*30)/56*F47</f>
        <v>4.0178571428571432</v>
      </c>
      <c r="H47" s="117">
        <f>+'Step 1 - Feed Cost Input Sheet '!B23</f>
        <v>3.27</v>
      </c>
      <c r="I47" s="60" t="s">
        <v>85</v>
      </c>
      <c r="J47" s="276"/>
      <c r="K47" s="276"/>
      <c r="L47" s="276"/>
      <c r="M47" s="276"/>
    </row>
    <row r="48" spans="1:13" x14ac:dyDescent="0.25">
      <c r="B48" s="107" t="str">
        <f>+'Step 1 - Feed Cost Input Sheet '!A24</f>
        <v>High Moisture Corn</v>
      </c>
      <c r="C48" s="60"/>
      <c r="D48" s="60"/>
      <c r="F48" s="63">
        <v>0</v>
      </c>
      <c r="G48" s="60">
        <f>+($I$26*30)/56*F48</f>
        <v>0</v>
      </c>
      <c r="H48" s="117">
        <f>+'Step 1 - Feed Cost Input Sheet '!B24</f>
        <v>2.27</v>
      </c>
      <c r="I48" s="60" t="s">
        <v>85</v>
      </c>
      <c r="J48" s="276"/>
      <c r="K48" s="276"/>
      <c r="L48" s="276"/>
      <c r="M48" s="276"/>
    </row>
    <row r="49" spans="1:12" x14ac:dyDescent="0.25">
      <c r="B49" s="107" t="str">
        <f>+'Step 1 - Feed Cost Input Sheet '!A25</f>
        <v>Hay</v>
      </c>
      <c r="C49" s="60"/>
      <c r="D49" s="60"/>
      <c r="F49" s="63">
        <v>6</v>
      </c>
      <c r="G49" s="60">
        <f>+($I$26*30)/2000*F49</f>
        <v>0.27</v>
      </c>
      <c r="H49" s="117">
        <f>+'Step 1 - Feed Cost Input Sheet '!B25</f>
        <v>90</v>
      </c>
      <c r="I49" s="60" t="s">
        <v>86</v>
      </c>
    </row>
    <row r="50" spans="1:12" x14ac:dyDescent="0.25">
      <c r="B50" s="107" t="str">
        <f>+'Step 1 - Feed Cost Input Sheet '!A26</f>
        <v>Alfalfa</v>
      </c>
      <c r="C50" s="60"/>
      <c r="D50" s="60"/>
      <c r="F50" s="63">
        <v>0.32</v>
      </c>
      <c r="G50" s="60">
        <f>+($I$26*30)/2000*F50</f>
        <v>1.44E-2</v>
      </c>
      <c r="H50" s="117">
        <f>+'Step 1 - Feed Cost Input Sheet '!B26</f>
        <v>100</v>
      </c>
      <c r="I50" s="60" t="s">
        <v>86</v>
      </c>
    </row>
    <row r="51" spans="1:12" x14ac:dyDescent="0.25">
      <c r="B51" s="107" t="str">
        <f>+'Step 1 - Feed Cost Input Sheet '!A27</f>
        <v>Silage</v>
      </c>
      <c r="C51" s="60"/>
      <c r="D51" s="60"/>
      <c r="F51" s="63">
        <v>0.53</v>
      </c>
      <c r="G51" s="60">
        <f>+($I$26*30)/2000*F51</f>
        <v>2.385E-2</v>
      </c>
      <c r="H51" s="117">
        <f>+'Step 1 - Feed Cost Input Sheet '!B27</f>
        <v>32</v>
      </c>
      <c r="I51" s="60" t="s">
        <v>86</v>
      </c>
    </row>
    <row r="52" spans="1:12" x14ac:dyDescent="0.25">
      <c r="B52" s="107" t="str">
        <f>+'Step 1 - Feed Cost Input Sheet '!A28</f>
        <v>Corn Stover</v>
      </c>
      <c r="C52" s="60"/>
      <c r="D52" s="60"/>
      <c r="F52" s="63">
        <v>0.18</v>
      </c>
      <c r="G52" s="60">
        <f>+($I$26*30)/2000*F52</f>
        <v>8.0999999999999996E-3</v>
      </c>
      <c r="H52" s="117">
        <f>+'Step 1 - Feed Cost Input Sheet '!B28</f>
        <v>55</v>
      </c>
      <c r="I52" s="60" t="s">
        <v>86</v>
      </c>
    </row>
    <row r="53" spans="1:12" x14ac:dyDescent="0.25">
      <c r="B53" s="107" t="str">
        <f>+'Step 1 - Feed Cost Input Sheet '!A29</f>
        <v>Modified Distillers</v>
      </c>
      <c r="C53" s="60"/>
      <c r="D53" s="60"/>
      <c r="F53" s="63">
        <v>0</v>
      </c>
      <c r="G53" s="60">
        <f>+($I$26*30)/2000*F53</f>
        <v>0</v>
      </c>
      <c r="H53" s="117">
        <f>+'Step 1 - Feed Cost Input Sheet '!B29</f>
        <v>125</v>
      </c>
      <c r="I53" s="60" t="s">
        <v>86</v>
      </c>
    </row>
    <row r="54" spans="1:12" x14ac:dyDescent="0.25">
      <c r="B54" s="107" t="str">
        <f>+'Step 1 - Feed Cost Input Sheet '!A30</f>
        <v>Pasture</v>
      </c>
      <c r="C54" s="60"/>
      <c r="D54" s="60"/>
      <c r="F54" s="173"/>
      <c r="G54" s="60">
        <f>+I27</f>
        <v>0</v>
      </c>
      <c r="H54" s="117">
        <f>+'Step 1 - Feed Cost Input Sheet '!B30</f>
        <v>45</v>
      </c>
      <c r="I54" s="162" t="s">
        <v>119</v>
      </c>
    </row>
    <row r="55" spans="1:12" x14ac:dyDescent="0.25">
      <c r="A55" s="1" t="s">
        <v>331</v>
      </c>
      <c r="D55" s="20" t="s">
        <v>13</v>
      </c>
    </row>
    <row r="56" spans="1:12" x14ac:dyDescent="0.25">
      <c r="A56" s="14" t="s">
        <v>14</v>
      </c>
    </row>
    <row r="57" spans="1:12" x14ac:dyDescent="0.25">
      <c r="B57" s="20" t="s">
        <v>47</v>
      </c>
      <c r="E57" s="35">
        <f>D21</f>
        <v>8</v>
      </c>
      <c r="F57" s="165" t="s">
        <v>48</v>
      </c>
      <c r="G57" s="77">
        <f>D22</f>
        <v>147</v>
      </c>
      <c r="I57" s="77">
        <f>E57*G57</f>
        <v>1176</v>
      </c>
    </row>
    <row r="58" spans="1:12" ht="15.75" thickBot="1" x14ac:dyDescent="0.3">
      <c r="B58" s="20" t="s">
        <v>49</v>
      </c>
      <c r="D58" s="164" t="s">
        <v>32</v>
      </c>
      <c r="E58" s="36">
        <f>D23</f>
        <v>1</v>
      </c>
      <c r="F58" s="20" t="s">
        <v>50</v>
      </c>
      <c r="G58" s="77">
        <f>I57</f>
        <v>1176</v>
      </c>
      <c r="H58" s="37" t="s">
        <v>30</v>
      </c>
      <c r="I58" s="79">
        <f>-E58*G58/100</f>
        <v>-11.76</v>
      </c>
    </row>
    <row r="59" spans="1:12" ht="15.75" thickBot="1" x14ac:dyDescent="0.3">
      <c r="D59" s="20" t="s">
        <v>15</v>
      </c>
      <c r="I59" s="80">
        <f>SUM(I57:I58)</f>
        <v>1164.24</v>
      </c>
    </row>
    <row r="61" spans="1:12" x14ac:dyDescent="0.25">
      <c r="A61" s="14" t="s">
        <v>16</v>
      </c>
    </row>
    <row r="62" spans="1:12" x14ac:dyDescent="0.25">
      <c r="B62" s="20" t="s">
        <v>51</v>
      </c>
      <c r="E62" s="35">
        <f>D26</f>
        <v>5</v>
      </c>
      <c r="F62" s="165" t="s">
        <v>52</v>
      </c>
      <c r="G62" s="25">
        <f>+D27</f>
        <v>190</v>
      </c>
      <c r="I62" s="79">
        <f>E62*G62</f>
        <v>950</v>
      </c>
      <c r="L62" s="71"/>
    </row>
    <row r="63" spans="1:12" x14ac:dyDescent="0.25">
      <c r="B63" s="38" t="s">
        <v>81</v>
      </c>
      <c r="C63" s="39"/>
      <c r="D63" s="39"/>
      <c r="E63" s="39"/>
      <c r="F63" s="39"/>
      <c r="G63" s="39"/>
      <c r="H63" s="39"/>
      <c r="I63" s="221">
        <f>SUM(H64:H73)</f>
        <v>41.905092857142854</v>
      </c>
      <c r="K63" s="58"/>
      <c r="L63" s="188"/>
    </row>
    <row r="64" spans="1:12" x14ac:dyDescent="0.25">
      <c r="B64" s="38" t="str">
        <f t="shared" ref="B64:B73" si="0">+B45</f>
        <v>Limestone</v>
      </c>
      <c r="C64" s="39"/>
      <c r="D64" s="38" t="s">
        <v>17</v>
      </c>
      <c r="E64" s="40">
        <f t="shared" ref="E64:E73" si="1">+G45</f>
        <v>0.16200000000000001</v>
      </c>
      <c r="F64" s="41" t="s">
        <v>18</v>
      </c>
      <c r="G64" s="185">
        <f t="shared" ref="G64:G73" si="2">+H45</f>
        <v>10</v>
      </c>
      <c r="H64" s="185">
        <f t="shared" ref="H64:H66" si="3">E64*G64</f>
        <v>1.62</v>
      </c>
      <c r="L64" s="71"/>
    </row>
    <row r="65" spans="2:9" x14ac:dyDescent="0.25">
      <c r="B65" s="38" t="str">
        <f t="shared" si="0"/>
        <v>Mineral &amp; Salt</v>
      </c>
      <c r="C65" s="39"/>
      <c r="D65" s="39"/>
      <c r="E65" s="40">
        <f t="shared" si="1"/>
        <v>9.0000000000000011E-3</v>
      </c>
      <c r="F65" s="41" t="s">
        <v>18</v>
      </c>
      <c r="G65" s="185">
        <f t="shared" si="2"/>
        <v>22</v>
      </c>
      <c r="H65" s="185">
        <f t="shared" si="3"/>
        <v>0.19800000000000001</v>
      </c>
    </row>
    <row r="66" spans="2:9" x14ac:dyDescent="0.25">
      <c r="B66" s="38" t="str">
        <f t="shared" si="0"/>
        <v>Dry Corn</v>
      </c>
      <c r="C66" s="39"/>
      <c r="D66" s="39"/>
      <c r="E66" s="40">
        <f t="shared" si="1"/>
        <v>4.0178571428571432</v>
      </c>
      <c r="F66" s="41" t="s">
        <v>54</v>
      </c>
      <c r="G66" s="185">
        <f t="shared" si="2"/>
        <v>3.27</v>
      </c>
      <c r="H66" s="185">
        <f t="shared" si="3"/>
        <v>13.138392857142858</v>
      </c>
    </row>
    <row r="67" spans="2:9" x14ac:dyDescent="0.25">
      <c r="B67" s="38" t="str">
        <f t="shared" si="0"/>
        <v>High Moisture Corn</v>
      </c>
      <c r="C67" s="39"/>
      <c r="D67" s="39"/>
      <c r="E67" s="40">
        <f t="shared" si="1"/>
        <v>0</v>
      </c>
      <c r="F67" s="41" t="s">
        <v>54</v>
      </c>
      <c r="G67" s="185">
        <f t="shared" si="2"/>
        <v>2.27</v>
      </c>
      <c r="H67" s="185">
        <f t="shared" ref="H67:H73" si="4">E67*G67</f>
        <v>0</v>
      </c>
    </row>
    <row r="68" spans="2:9" x14ac:dyDescent="0.25">
      <c r="B68" s="38" t="str">
        <f t="shared" si="0"/>
        <v>Hay</v>
      </c>
      <c r="C68" s="39"/>
      <c r="D68" s="39"/>
      <c r="E68" s="40">
        <f t="shared" si="1"/>
        <v>0.27</v>
      </c>
      <c r="F68" s="41" t="s">
        <v>55</v>
      </c>
      <c r="G68" s="185">
        <f t="shared" si="2"/>
        <v>90</v>
      </c>
      <c r="H68" s="185">
        <f t="shared" si="4"/>
        <v>24.3</v>
      </c>
    </row>
    <row r="69" spans="2:9" x14ac:dyDescent="0.25">
      <c r="B69" s="38" t="str">
        <f t="shared" si="0"/>
        <v>Alfalfa</v>
      </c>
      <c r="C69" s="39"/>
      <c r="D69" s="39"/>
      <c r="E69" s="40">
        <f t="shared" si="1"/>
        <v>1.44E-2</v>
      </c>
      <c r="F69" s="41" t="s">
        <v>55</v>
      </c>
      <c r="G69" s="185">
        <f t="shared" si="2"/>
        <v>100</v>
      </c>
      <c r="H69" s="185">
        <f t="shared" si="4"/>
        <v>1.44</v>
      </c>
    </row>
    <row r="70" spans="2:9" x14ac:dyDescent="0.25">
      <c r="B70" s="38" t="str">
        <f t="shared" si="0"/>
        <v>Silage</v>
      </c>
      <c r="C70" s="39"/>
      <c r="D70" s="39"/>
      <c r="E70" s="40">
        <f t="shared" si="1"/>
        <v>2.385E-2</v>
      </c>
      <c r="F70" s="41" t="s">
        <v>55</v>
      </c>
      <c r="G70" s="185">
        <f t="shared" si="2"/>
        <v>32</v>
      </c>
      <c r="H70" s="185">
        <f t="shared" si="4"/>
        <v>0.76319999999999999</v>
      </c>
    </row>
    <row r="71" spans="2:9" x14ac:dyDescent="0.25">
      <c r="B71" s="38" t="str">
        <f t="shared" si="0"/>
        <v>Corn Stover</v>
      </c>
      <c r="C71" s="39"/>
      <c r="D71" s="39"/>
      <c r="E71" s="40">
        <f t="shared" si="1"/>
        <v>8.0999999999999996E-3</v>
      </c>
      <c r="F71" s="41" t="s">
        <v>55</v>
      </c>
      <c r="G71" s="185">
        <f t="shared" si="2"/>
        <v>55</v>
      </c>
      <c r="H71" s="185">
        <f t="shared" si="4"/>
        <v>0.44549999999999995</v>
      </c>
    </row>
    <row r="72" spans="2:9" x14ac:dyDescent="0.25">
      <c r="B72" s="38" t="str">
        <f t="shared" si="0"/>
        <v>Modified Distillers</v>
      </c>
      <c r="C72" s="39"/>
      <c r="D72" s="39"/>
      <c r="E72" s="40">
        <f t="shared" si="1"/>
        <v>0</v>
      </c>
      <c r="F72" s="41" t="s">
        <v>55</v>
      </c>
      <c r="G72" s="185">
        <f t="shared" si="2"/>
        <v>125</v>
      </c>
      <c r="H72" s="177">
        <f t="shared" si="4"/>
        <v>0</v>
      </c>
    </row>
    <row r="73" spans="2:9" x14ac:dyDescent="0.25">
      <c r="B73" s="38" t="str">
        <f t="shared" si="0"/>
        <v>Pasture</v>
      </c>
      <c r="C73" s="39"/>
      <c r="D73" s="39"/>
      <c r="E73" s="40">
        <f t="shared" si="1"/>
        <v>0</v>
      </c>
      <c r="F73" s="175" t="s">
        <v>227</v>
      </c>
      <c r="G73" s="185">
        <f t="shared" si="2"/>
        <v>45</v>
      </c>
      <c r="H73" s="177">
        <f t="shared" si="4"/>
        <v>0</v>
      </c>
    </row>
    <row r="74" spans="2:9" x14ac:dyDescent="0.25">
      <c r="B74" s="20" t="s">
        <v>19</v>
      </c>
      <c r="I74" s="77">
        <f>D30</f>
        <v>9</v>
      </c>
    </row>
    <row r="75" spans="2:9" x14ac:dyDescent="0.25">
      <c r="B75" s="20" t="s">
        <v>20</v>
      </c>
      <c r="I75" s="77">
        <f>D31</f>
        <v>10</v>
      </c>
    </row>
    <row r="76" spans="2:9" x14ac:dyDescent="0.25">
      <c r="B76" s="20" t="s">
        <v>21</v>
      </c>
      <c r="I76" s="77">
        <f>D32</f>
        <v>15.75</v>
      </c>
    </row>
    <row r="77" spans="2:9" x14ac:dyDescent="0.25">
      <c r="B77" s="20" t="s">
        <v>53</v>
      </c>
      <c r="I77" s="77">
        <f>+D33</f>
        <v>0</v>
      </c>
    </row>
    <row r="78" spans="2:9" x14ac:dyDescent="0.25">
      <c r="B78" s="20" t="s">
        <v>40</v>
      </c>
      <c r="I78" s="71">
        <f>IF(I30=0,(I31/I33*I32/I34),(I30*I31/I34))</f>
        <v>1E-3</v>
      </c>
    </row>
    <row r="79" spans="2:9" ht="15.75" thickBot="1" x14ac:dyDescent="0.3">
      <c r="B79" s="2" t="s">
        <v>228</v>
      </c>
      <c r="I79" s="79">
        <f>+D34</f>
        <v>0</v>
      </c>
    </row>
    <row r="80" spans="2:9" ht="15.75" thickBot="1" x14ac:dyDescent="0.3">
      <c r="B80" s="20" t="s">
        <v>17</v>
      </c>
      <c r="D80" s="20" t="s">
        <v>22</v>
      </c>
      <c r="I80" s="80">
        <f>SUM(I62:I79)</f>
        <v>1026.6560928571428</v>
      </c>
    </row>
    <row r="81" spans="1:9" ht="15.75" thickBot="1" x14ac:dyDescent="0.3">
      <c r="I81" s="71"/>
    </row>
    <row r="82" spans="1:9" ht="16.5" thickTop="1" thickBot="1" x14ac:dyDescent="0.3">
      <c r="A82" s="14" t="s">
        <v>23</v>
      </c>
      <c r="I82" s="178">
        <f>I59-I80</f>
        <v>137.58390714285724</v>
      </c>
    </row>
    <row r="83" spans="1:9" ht="15.75" thickTop="1" x14ac:dyDescent="0.25"/>
    <row r="84" spans="1:9" x14ac:dyDescent="0.25">
      <c r="A84" s="14" t="s">
        <v>24</v>
      </c>
    </row>
    <row r="85" spans="1:9" x14ac:dyDescent="0.25">
      <c r="B85" s="20" t="s">
        <v>25</v>
      </c>
      <c r="G85" s="8">
        <f>I21/100</f>
        <v>0.06</v>
      </c>
    </row>
    <row r="86" spans="1:9" x14ac:dyDescent="0.25">
      <c r="B86" s="20" t="s">
        <v>26</v>
      </c>
      <c r="I86" s="77">
        <f>((I80*I21)*(($I$26+I27)/12))/100</f>
        <v>15.399841392857143</v>
      </c>
    </row>
    <row r="87" spans="1:9" x14ac:dyDescent="0.25">
      <c r="B87" s="20" t="s">
        <v>27</v>
      </c>
      <c r="I87" s="77">
        <f>I22</f>
        <v>6</v>
      </c>
    </row>
    <row r="88" spans="1:9" ht="15.75" thickBot="1" x14ac:dyDescent="0.3">
      <c r="B88" s="2" t="s">
        <v>338</v>
      </c>
      <c r="I88" s="79">
        <f>(I80+I23)*0.025</f>
        <v>28.166402321428571</v>
      </c>
    </row>
    <row r="89" spans="1:9" ht="15.75" thickBot="1" x14ac:dyDescent="0.3">
      <c r="D89" s="1" t="s">
        <v>339</v>
      </c>
      <c r="I89" s="214">
        <f>+SUM(I86:I88)</f>
        <v>49.566243714285712</v>
      </c>
    </row>
    <row r="90" spans="1:9" ht="15.75" thickBot="1" x14ac:dyDescent="0.3">
      <c r="D90" s="20" t="s">
        <v>28</v>
      </c>
      <c r="I90" s="220">
        <f>I82-SUM(I86:I88)</f>
        <v>88.017663428571524</v>
      </c>
    </row>
    <row r="91" spans="1:9" ht="15.75" thickTop="1" x14ac:dyDescent="0.25">
      <c r="I91" s="71"/>
    </row>
    <row r="92" spans="1:9" x14ac:dyDescent="0.25">
      <c r="B92" s="20" t="s">
        <v>56</v>
      </c>
      <c r="H92" s="77">
        <f>(I80+SUM(I86:I88)+I58)/E57</f>
        <v>133.05779207142857</v>
      </c>
      <c r="I92" s="219" t="s">
        <v>122</v>
      </c>
    </row>
    <row r="93" spans="1:9" x14ac:dyDescent="0.25">
      <c r="C93" s="269" t="s">
        <v>57</v>
      </c>
      <c r="D93" s="269"/>
      <c r="E93" s="269"/>
      <c r="F93" s="25">
        <f>D27</f>
        <v>190</v>
      </c>
      <c r="G93" s="20" t="s">
        <v>58</v>
      </c>
    </row>
    <row r="94" spans="1:9" x14ac:dyDescent="0.25">
      <c r="E94" s="269" t="s">
        <v>59</v>
      </c>
      <c r="F94" s="269"/>
      <c r="G94" s="165">
        <f>(SUM(I63:I79)+I89)/(E57-E62)</f>
        <v>42.074112190476193</v>
      </c>
      <c r="H94" s="20" t="s">
        <v>60</v>
      </c>
      <c r="I94" s="71"/>
    </row>
    <row r="95" spans="1:9" x14ac:dyDescent="0.25">
      <c r="B95" s="20" t="s">
        <v>61</v>
      </c>
      <c r="H95" s="77">
        <f>(I59-(SUM(I63:I79)+SUM(I86:I88)))/E62</f>
        <v>207.6035326857143</v>
      </c>
      <c r="I95" s="219" t="s">
        <v>122</v>
      </c>
    </row>
    <row r="96" spans="1:9" x14ac:dyDescent="0.25">
      <c r="C96" s="269" t="s">
        <v>62</v>
      </c>
      <c r="D96" s="269"/>
      <c r="E96" s="269"/>
      <c r="F96" s="48">
        <f>D22</f>
        <v>147</v>
      </c>
      <c r="G96" s="20" t="s">
        <v>58</v>
      </c>
    </row>
    <row r="97" spans="1:10" x14ac:dyDescent="0.25">
      <c r="A97" s="16" t="s">
        <v>102</v>
      </c>
      <c r="E97" s="24">
        <f>(D21-D26)*100</f>
        <v>300</v>
      </c>
      <c r="F97" s="14" t="s">
        <v>64</v>
      </c>
      <c r="I97" s="35">
        <f>E97/((I26+I27)*365/12)</f>
        <v>3.2876712328767121</v>
      </c>
      <c r="J97" s="20"/>
    </row>
    <row r="98" spans="1:10" x14ac:dyDescent="0.25">
      <c r="A98" s="16"/>
      <c r="E98" s="24"/>
      <c r="F98" s="14"/>
      <c r="I98" s="35"/>
      <c r="J98" s="20"/>
    </row>
    <row r="99" spans="1:10" x14ac:dyDescent="0.25">
      <c r="A99" s="14" t="s">
        <v>65</v>
      </c>
    </row>
    <row r="100" spans="1:10" x14ac:dyDescent="0.25">
      <c r="A100" s="20" t="s">
        <v>68</v>
      </c>
      <c r="E100" s="77">
        <f>I59</f>
        <v>1164.24</v>
      </c>
    </row>
    <row r="101" spans="1:10" x14ac:dyDescent="0.25">
      <c r="A101" s="20" t="s">
        <v>66</v>
      </c>
      <c r="E101" s="77">
        <f>I80</f>
        <v>1026.6560928571428</v>
      </c>
    </row>
    <row r="102" spans="1:10" x14ac:dyDescent="0.25">
      <c r="A102" s="20" t="s">
        <v>67</v>
      </c>
      <c r="E102" s="77">
        <f>I82/3</f>
        <v>45.861302380952417</v>
      </c>
    </row>
    <row r="103" spans="1:10" x14ac:dyDescent="0.25">
      <c r="A103" s="20" t="s">
        <v>69</v>
      </c>
      <c r="E103" s="8">
        <f>I82/I80</f>
        <v>0.13401167937353467</v>
      </c>
    </row>
    <row r="105" spans="1:10" x14ac:dyDescent="0.25">
      <c r="B105" s="14" t="s">
        <v>70</v>
      </c>
    </row>
    <row r="106" spans="1:10" x14ac:dyDescent="0.25">
      <c r="B106" s="164"/>
    </row>
    <row r="107" spans="1:10" x14ac:dyDescent="0.25">
      <c r="B107" s="274" t="s">
        <v>105</v>
      </c>
      <c r="C107" s="275"/>
      <c r="F107" s="20" t="s">
        <v>35</v>
      </c>
    </row>
    <row r="108" spans="1:10" x14ac:dyDescent="0.25">
      <c r="A108" s="15"/>
      <c r="B108" s="272" t="s">
        <v>106</v>
      </c>
      <c r="C108" s="273"/>
      <c r="D108" s="46">
        <f>G57-8</f>
        <v>139</v>
      </c>
      <c r="E108" s="47">
        <f>G57-4</f>
        <v>143</v>
      </c>
      <c r="F108" s="47">
        <f>G57</f>
        <v>147</v>
      </c>
      <c r="G108" s="47">
        <f>G57+4</f>
        <v>151</v>
      </c>
      <c r="H108" s="47">
        <f>G57+8</f>
        <v>155</v>
      </c>
      <c r="I108" s="47">
        <f>H108+4</f>
        <v>159</v>
      </c>
    </row>
    <row r="109" spans="1:10" x14ac:dyDescent="0.25">
      <c r="B109" s="270">
        <f>G62-10</f>
        <v>180</v>
      </c>
      <c r="C109" s="271"/>
      <c r="D109" s="37">
        <f t="shared" ref="D109:I109" si="5">(($E$57*D108)-($E$58/100*$E$57*D108))-(($E$62*$B$109)+SUM($I$63:$I$79)+SUM($I$86:$I$88))</f>
        <v>74.657663428571595</v>
      </c>
      <c r="E109" s="37">
        <f t="shared" si="5"/>
        <v>106.33766342857143</v>
      </c>
      <c r="F109" s="37">
        <f t="shared" si="5"/>
        <v>138.0176634285715</v>
      </c>
      <c r="G109" s="37">
        <f t="shared" si="5"/>
        <v>169.69766342857156</v>
      </c>
      <c r="H109" s="37">
        <f t="shared" si="5"/>
        <v>201.3776634285714</v>
      </c>
      <c r="I109" s="37">
        <f t="shared" si="5"/>
        <v>233.05766342857146</v>
      </c>
    </row>
    <row r="110" spans="1:10" x14ac:dyDescent="0.25">
      <c r="B110" s="274">
        <f>G62-5</f>
        <v>185</v>
      </c>
      <c r="C110" s="275"/>
      <c r="D110" s="37">
        <f t="shared" ref="D110:I110" si="6">(($E$57*D108)-($E$58/100*$E$57*D108))-(($E$62*$B$110)+SUM($I$63:$I$79)+SUM($I$86:$I$88))</f>
        <v>49.657663428571595</v>
      </c>
      <c r="E110" s="37">
        <f t="shared" si="6"/>
        <v>81.337663428571432</v>
      </c>
      <c r="F110" s="37">
        <f t="shared" si="6"/>
        <v>113.0176634285715</v>
      </c>
      <c r="G110" s="37">
        <f t="shared" si="6"/>
        <v>144.69766342857156</v>
      </c>
      <c r="H110" s="37">
        <f t="shared" si="6"/>
        <v>176.3776634285714</v>
      </c>
      <c r="I110" s="37">
        <f t="shared" si="6"/>
        <v>208.05766342857146</v>
      </c>
    </row>
    <row r="111" spans="1:10" x14ac:dyDescent="0.25">
      <c r="B111" s="274">
        <f>G62</f>
        <v>190</v>
      </c>
      <c r="C111" s="275"/>
      <c r="D111" s="37">
        <f t="shared" ref="D111:I111" si="7">(($E$57*D108)-($E$58/100*$E$57*D108))-(($E$62*$B$111)+SUM($I$63:$I$79)+SUM($I$86:$I$88))</f>
        <v>24.657663428571595</v>
      </c>
      <c r="E111" s="37">
        <f t="shared" si="7"/>
        <v>56.337663428571432</v>
      </c>
      <c r="F111" s="37">
        <f t="shared" si="7"/>
        <v>88.017663428571495</v>
      </c>
      <c r="G111" s="37">
        <f t="shared" si="7"/>
        <v>119.69766342857156</v>
      </c>
      <c r="H111" s="37">
        <f t="shared" si="7"/>
        <v>151.3776634285714</v>
      </c>
      <c r="I111" s="37">
        <f t="shared" si="7"/>
        <v>183.05766342857146</v>
      </c>
    </row>
    <row r="112" spans="1:10" x14ac:dyDescent="0.25">
      <c r="B112" s="274">
        <f>G62+5</f>
        <v>195</v>
      </c>
      <c r="C112" s="275"/>
      <c r="D112" s="37">
        <f t="shared" ref="D112:I112" si="8">(($E$57*D108)-($E$58/100*$E$57*D108))-(($E$62*$B$112)+SUM($I$63:$I$79)+SUM($I$86:$I$88))</f>
        <v>-0.34233657142840457</v>
      </c>
      <c r="E112" s="37">
        <f t="shared" si="8"/>
        <v>31.337663428571432</v>
      </c>
      <c r="F112" s="37">
        <f t="shared" si="8"/>
        <v>63.017663428571495</v>
      </c>
      <c r="G112" s="37">
        <f t="shared" si="8"/>
        <v>94.697663428571559</v>
      </c>
      <c r="H112" s="37">
        <f t="shared" si="8"/>
        <v>126.3776634285714</v>
      </c>
      <c r="I112" s="37">
        <f t="shared" si="8"/>
        <v>158.05766342857146</v>
      </c>
    </row>
    <row r="113" spans="1:9" x14ac:dyDescent="0.25">
      <c r="B113" s="274">
        <f>G62+10</f>
        <v>200</v>
      </c>
      <c r="C113" s="275"/>
      <c r="D113" s="37">
        <f t="shared" ref="D113:I113" si="9">(($E$57*D108)-($E$58/100*$E$57*D108))-(($E$62*$B$113)+SUM($I$63:$I$79)+SUM($I$86:$I$88))</f>
        <v>-25.342336571428405</v>
      </c>
      <c r="E113" s="37">
        <f t="shared" si="9"/>
        <v>6.3376634285714317</v>
      </c>
      <c r="F113" s="37">
        <f t="shared" si="9"/>
        <v>38.017663428571495</v>
      </c>
      <c r="G113" s="37">
        <f t="shared" si="9"/>
        <v>69.697663428571559</v>
      </c>
      <c r="H113" s="37">
        <f t="shared" si="9"/>
        <v>101.3776634285714</v>
      </c>
      <c r="I113" s="37">
        <f t="shared" si="9"/>
        <v>133.05766342857146</v>
      </c>
    </row>
    <row r="114" spans="1:9" x14ac:dyDescent="0.25">
      <c r="I114" s="26"/>
    </row>
    <row r="115" spans="1:9" x14ac:dyDescent="0.25">
      <c r="I115" s="26"/>
    </row>
    <row r="116" spans="1:9" x14ac:dyDescent="0.25">
      <c r="B116" s="17" t="s">
        <v>70</v>
      </c>
      <c r="C116" s="25"/>
      <c r="D116" s="25"/>
      <c r="E116" s="25"/>
      <c r="F116" s="25"/>
      <c r="G116" s="25"/>
      <c r="I116" s="26"/>
    </row>
    <row r="117" spans="1:9" x14ac:dyDescent="0.25">
      <c r="B117" s="37" t="s">
        <v>71</v>
      </c>
      <c r="E117" s="51">
        <f>G62</f>
        <v>190</v>
      </c>
      <c r="F117" s="37" t="s">
        <v>72</v>
      </c>
      <c r="H117" s="25"/>
      <c r="I117" s="37"/>
    </row>
    <row r="118" spans="1:9" x14ac:dyDescent="0.25">
      <c r="B118" s="48"/>
      <c r="C118" s="168" t="s">
        <v>104</v>
      </c>
      <c r="D118" s="25"/>
      <c r="E118" s="25"/>
      <c r="F118" s="25"/>
      <c r="G118" s="25"/>
      <c r="H118" s="25"/>
      <c r="I118" s="37"/>
    </row>
    <row r="119" spans="1:9" x14ac:dyDescent="0.25">
      <c r="A119" s="15"/>
      <c r="B119" s="15"/>
      <c r="C119" s="18" t="s">
        <v>107</v>
      </c>
      <c r="D119" s="47">
        <f>G57-8</f>
        <v>139</v>
      </c>
      <c r="E119" s="47">
        <f>G57-4</f>
        <v>143</v>
      </c>
      <c r="F119" s="47">
        <f>G57</f>
        <v>147</v>
      </c>
      <c r="G119" s="47">
        <f>G57+4</f>
        <v>151</v>
      </c>
      <c r="H119" s="47">
        <f>G57+8</f>
        <v>155</v>
      </c>
      <c r="I119" s="47">
        <f>G57+12</f>
        <v>159</v>
      </c>
    </row>
    <row r="120" spans="1:9" x14ac:dyDescent="0.25">
      <c r="C120" s="49">
        <f>G94/100-0.1</f>
        <v>0.32074112190476189</v>
      </c>
      <c r="D120" s="37">
        <f>((E57*(G57-8))-(E58/100*E57*(G57-8)))-(I62+((G94-10)*(E57-E62)))</f>
        <v>54.657663428571595</v>
      </c>
      <c r="E120" s="37">
        <f>((E57*(G57-4))-(E58/100*E57*(G57-4)))-(I62+((G94-10)*(E57-E62)))</f>
        <v>86.337663428571432</v>
      </c>
      <c r="F120" s="37">
        <f>((E57*(G57))-(E58/100*E57*(G57)))-(I62+((G94-10)*(E57-E62)))</f>
        <v>118.0176634285715</v>
      </c>
      <c r="G120" s="37">
        <f>((E57*(G57+4))-(E58/100*E57*(G57+4)))-(I62+((G94-10)*(E57-E62)))</f>
        <v>149.69766342857156</v>
      </c>
      <c r="H120" s="37">
        <f>((E57*(G57+8))-(E58/100*E57*(G57+8)))-(I62+((G94-10)*(E57-E62)))</f>
        <v>181.3776634285714</v>
      </c>
      <c r="I120" s="37">
        <f>((E57*(G57+12))-(E58/100*E57*(G57+12)))-(I62+((G94-10)*(E57-E62)))</f>
        <v>213.05766342857146</v>
      </c>
    </row>
    <row r="121" spans="1:9" x14ac:dyDescent="0.25">
      <c r="C121" s="49">
        <f>G94/100-0.05</f>
        <v>0.37074112190476194</v>
      </c>
      <c r="D121" s="37">
        <f>((E57*(G57-8))-(E58/100*E57*(G57-8)))-(I62+((G94-5)*(E57-E62)))</f>
        <v>39.657663428571595</v>
      </c>
      <c r="E121" s="37">
        <f>((E57*(G57-4))-(E58/100*E57*(G57-4)))-(I62+((G94-5)*(E57-E62)))</f>
        <v>71.337663428571432</v>
      </c>
      <c r="F121" s="37">
        <f>((E57*(G57))-(E58/100*E57*(G57)))-(I62+((G94-5)*(E57-E62)))</f>
        <v>103.0176634285715</v>
      </c>
      <c r="G121" s="37">
        <f>((E57*(G57+4))-(E58/100*E57*(G57+4)))-(I62+((G94-5)*(E57-E62)))</f>
        <v>134.69766342857156</v>
      </c>
      <c r="H121" s="37">
        <f>((E57*(G57+8))-(E58/100*E57*(G57+8)))-(I62+((G94-5)*(E57-E62)))</f>
        <v>166.3776634285714</v>
      </c>
      <c r="I121" s="37">
        <f>((E57*(G57+12))-(E58/100*E57*(G57+12)))-(I62+((G94-5)*(E57-E62)))</f>
        <v>198.05766342857146</v>
      </c>
    </row>
    <row r="122" spans="1:9" x14ac:dyDescent="0.25">
      <c r="C122" s="49">
        <f>G94/100</f>
        <v>0.42074112190476193</v>
      </c>
      <c r="D122" s="37">
        <f>((E57*(G57-8))-(E58/100*E57*(G57-8)))-(I62+(G94*(E57-E62)))</f>
        <v>24.657663428571595</v>
      </c>
      <c r="E122" s="37">
        <f>((E57*(G57-4))-(E58/100*E57*(G57-4)))-(I62+(G94*(E57-E62)))</f>
        <v>56.337663428571432</v>
      </c>
      <c r="F122" s="37">
        <f>((E57*G57)-(E58/100*E57*G57))-(I62+(G94*(E57-E62)))</f>
        <v>88.017663428571495</v>
      </c>
      <c r="G122" s="37">
        <f>((E57*(G57+4))-(E58/100*E57*(G57+4)))-(I62+(G94*(E57-E62)))</f>
        <v>119.69766342857156</v>
      </c>
      <c r="H122" s="37">
        <f>((E57*(G57+8))-(E58/100*E57*(G57+8)))-(I62+(G94*(E57-E62)))</f>
        <v>151.3776634285714</v>
      </c>
      <c r="I122" s="37">
        <f>((E57*(G57+12))-(E58/100*E57*(G57+12)))-(I62+(G94*(E57-E62)))</f>
        <v>183.05766342857146</v>
      </c>
    </row>
    <row r="123" spans="1:9" x14ac:dyDescent="0.25">
      <c r="C123" s="49">
        <f>G94/100+0.05</f>
        <v>0.47074112190476192</v>
      </c>
      <c r="D123" s="37">
        <f>((E57*(G57-8))-(E58/100*E57*(G57-8)))-(I62+((G94+5)*(E57-E62)))</f>
        <v>9.6576634285715954</v>
      </c>
      <c r="E123" s="37">
        <f>((E57*(G57-4))-(E58/100*E57*(G57-4)))-(I62+((G94+5)*(E57-E62)))</f>
        <v>41.337663428571432</v>
      </c>
      <c r="F123" s="37">
        <f>((E57*(G57))-(E58/100*E57*(G57)))-(I62+((G94+5)*(E57-E62)))</f>
        <v>73.017663428571495</v>
      </c>
      <c r="G123" s="37">
        <f>((E57*(G57+4))-(E58/100*E57*(G57+4)))-(I62+((G94+5)*(E57-E62)))</f>
        <v>104.69766342857156</v>
      </c>
      <c r="H123" s="37">
        <f>((E57*(G57+8))-(E58/100*E57*(G57+8)))-(I62+((G94+5)*(E57-E62)))</f>
        <v>136.3776634285714</v>
      </c>
      <c r="I123" s="37">
        <f>((E57*(G57+12))-(E58/100*E57*(G57+12)))-(I62+((G94+5)*(E57-E62)))</f>
        <v>168.05766342857146</v>
      </c>
    </row>
    <row r="124" spans="1:9" x14ac:dyDescent="0.25">
      <c r="C124" s="49">
        <f>G94/100+0.1</f>
        <v>0.52074112190476196</v>
      </c>
      <c r="D124" s="37">
        <f>((E57*(G57-8))-(E58/100*E57*(G57-8)))-(I62+((G94+10)*(E57-E62)))</f>
        <v>-5.3423365714284046</v>
      </c>
      <c r="E124" s="37">
        <f>((E57*(G57-4))-(E58/100*E57*(G57-4)))-(I62+((G94+10)*(E57-E62)))</f>
        <v>26.337663428571432</v>
      </c>
      <c r="F124" s="37">
        <f>((E57*(G57))-(E58/100*E57*(G57)))-(I62+((G94+10)*(E57-E62)))</f>
        <v>58.017663428571495</v>
      </c>
      <c r="G124" s="37">
        <f>((E57*(G57+4))-(E58/100*E57*(G57+4)))-(I62+((G94+10)*(E57-E62)))</f>
        <v>89.697663428571559</v>
      </c>
      <c r="H124" s="37">
        <f>((E57*(G57+8))-(E58/100*E57*(G57+8)))-(I62+((G94+10)*(E57-E62)))</f>
        <v>121.3776634285714</v>
      </c>
      <c r="I124" s="37">
        <f>((E57*(G57+12))-(E58/100*E57*(G57+12)))-(I62+((G94+10)*(E57-E62)))</f>
        <v>153.05766342857146</v>
      </c>
    </row>
    <row r="125" spans="1:9" x14ac:dyDescent="0.25">
      <c r="I125" s="26"/>
    </row>
    <row r="126" spans="1:9" x14ac:dyDescent="0.25">
      <c r="B126" s="17" t="s">
        <v>70</v>
      </c>
      <c r="I126" s="26"/>
    </row>
    <row r="127" spans="1:9" x14ac:dyDescent="0.25">
      <c r="B127" s="37" t="s">
        <v>71</v>
      </c>
      <c r="E127" s="51">
        <f>G62+10</f>
        <v>200</v>
      </c>
      <c r="F127" s="37" t="s">
        <v>72</v>
      </c>
      <c r="H127" s="25"/>
      <c r="I127" s="37"/>
    </row>
    <row r="128" spans="1:9" x14ac:dyDescent="0.25">
      <c r="B128" s="37"/>
      <c r="C128" s="168" t="s">
        <v>103</v>
      </c>
      <c r="E128" s="25"/>
      <c r="F128" s="37"/>
      <c r="H128" s="25"/>
      <c r="I128" s="37"/>
    </row>
    <row r="129" spans="1:10" x14ac:dyDescent="0.25">
      <c r="A129" s="15"/>
      <c r="B129" s="15"/>
      <c r="C129" s="19" t="s">
        <v>108</v>
      </c>
      <c r="D129" s="47">
        <f>G57-8</f>
        <v>139</v>
      </c>
      <c r="E129" s="47">
        <f>G57-4</f>
        <v>143</v>
      </c>
      <c r="F129" s="47">
        <f>G57</f>
        <v>147</v>
      </c>
      <c r="G129" s="47">
        <f>G57+4</f>
        <v>151</v>
      </c>
      <c r="H129" s="47">
        <f>G57+8</f>
        <v>155</v>
      </c>
      <c r="I129" s="47">
        <f>G57+12</f>
        <v>159</v>
      </c>
    </row>
    <row r="130" spans="1:10" x14ac:dyDescent="0.25">
      <c r="C130" s="49">
        <f>G94/100-0.1</f>
        <v>0.32074112190476189</v>
      </c>
      <c r="D130" s="37">
        <f>((E57*(G57-8))-(E58/100*E57*(G57-8)))-((E62*(G62+10))+((G94-10)*(E57-E62)))</f>
        <v>4.6576634285715954</v>
      </c>
      <c r="E130" s="37">
        <f>((E57*(G57-4))-(E58/100*E57*(G57-4)))-((E62*(G62+10))+((G94-10)*(E57-E62)))</f>
        <v>36.337663428571432</v>
      </c>
      <c r="F130" s="37">
        <f>((E57*(G57))-(E58/100*E57*(G57)))-((E62*(G62+10))+((G94-10)*(E57-E62)))</f>
        <v>68.017663428571495</v>
      </c>
      <c r="G130" s="37">
        <f>((E57*(G57+4))-(E58/100*E57*(G57+4)))-((E62*(G62+10))+((G94-10)*(E57-E62)))</f>
        <v>99.697663428571559</v>
      </c>
      <c r="H130" s="37">
        <f>((E57*(G57+8))-(E58/100*E57*(G57+8)))-((E62*(G62+10))+((G94-10)*(E57-E62)))</f>
        <v>131.3776634285714</v>
      </c>
      <c r="I130" s="37">
        <f>((E57*I129)-(E58/100*E57*I129))-((E62*E127)+(C130*100*(E57-E62)))</f>
        <v>163.05766342857146</v>
      </c>
    </row>
    <row r="131" spans="1:10" x14ac:dyDescent="0.25">
      <c r="C131" s="49">
        <f>G94/100-0.05</f>
        <v>0.37074112190476194</v>
      </c>
      <c r="D131" s="37">
        <f>((E57*(G57-8))-(E58/100*E57*(G57-8)))-((E62*(G62+10))+((G94-5)*(E57-E62)))</f>
        <v>-10.342336571428405</v>
      </c>
      <c r="E131" s="37">
        <f>((E57*(G57-4))-(E58/100*E57*(G57-4)))-((E62*(G62+10))+((G94-5)*(E57-E62)))</f>
        <v>21.337663428571432</v>
      </c>
      <c r="F131" s="37">
        <f>((E57*(G57))-(E58/100*E57*(G57)))-((E62*(G62+10))+((G94-5)*(E57-E62)))</f>
        <v>53.017663428571495</v>
      </c>
      <c r="G131" s="37">
        <f>((E57*(G57+4))-(E58/100*E57*(G57+4)))-((E62*(G62+10))+((G94-5)*(E57-E62)))</f>
        <v>84.697663428571559</v>
      </c>
      <c r="H131" s="37">
        <f>((E57*(G57+8))-(E58/100*E57*(G57+8)))-((E62*(G62+10))+((G94-5)*(E57-E62)))</f>
        <v>116.3776634285714</v>
      </c>
      <c r="I131" s="37">
        <f>((E57*(G57+12))-(E58/100*E57*(G57+12)))-((E62*(G62+10))+((G94-5)*(E57-E62)))</f>
        <v>148.05766342857146</v>
      </c>
    </row>
    <row r="132" spans="1:10" x14ac:dyDescent="0.25">
      <c r="C132" s="49">
        <f>G94/100</f>
        <v>0.42074112190476193</v>
      </c>
      <c r="D132" s="37">
        <f>((E57*(G57-8))-(E58/100*E57*(G57-8)))-((E62*(G62+10))+(G94*(E57-E62)))</f>
        <v>-25.342336571428405</v>
      </c>
      <c r="E132" s="37">
        <f>((E57*(G57-4))-(E58/100*E57*(G57-4)))-((E62*(G62+10))+(G94*(E57-E62)))</f>
        <v>6.3376634285714317</v>
      </c>
      <c r="F132" s="37">
        <f>((E57*G57)-(E58/100*E57*G57))-((E62*(G62+10))+(G94*(E57-E62)))</f>
        <v>38.017663428571495</v>
      </c>
      <c r="G132" s="37">
        <f>((E57*(G57+4))-(E58/100*E57*(G57+4)))-((E62*(G62+10))+(G94*(E57-E62)))</f>
        <v>69.697663428571559</v>
      </c>
      <c r="H132" s="37">
        <f>((E57*(G57+8))-(E58/100*E57*(G57+8)))-((E62*(G62+10))+(G94*(E57-E62)))</f>
        <v>101.3776634285714</v>
      </c>
      <c r="I132" s="37">
        <f>((E57*(G57+12))-(E58/100*E57*(G57+12)))-((E62*(G62+10))+(G94*(E57-E62)))</f>
        <v>133.05766342857146</v>
      </c>
    </row>
    <row r="133" spans="1:10" x14ac:dyDescent="0.25">
      <c r="C133" s="49">
        <f>G94/100+0.05</f>
        <v>0.47074112190476192</v>
      </c>
      <c r="D133" s="37">
        <f>((E57*(G57-8))-(E58/100*E57*(G57-8)))-((E62*(G62+10))+((G94+5)*(E57-E62)))</f>
        <v>-40.342336571428405</v>
      </c>
      <c r="E133" s="37">
        <f>((E57*(G57-4))-(E58/100*E57*(G57-4)))-((E62*(G62+10))+((G94+5)*(E57-E62)))</f>
        <v>-8.6623365714285683</v>
      </c>
      <c r="F133" s="37">
        <f>((E57*(G57))-(E58/100*E57*(G57)))-((E62*(G62+10))+((G94+5)*(E57-E62)))</f>
        <v>23.017663428571495</v>
      </c>
      <c r="G133" s="37">
        <f>((E57*(G57+4))-(E58/100*E57*(G57+4)))-((E62*(G62+10))+((G94+5)*(E57-E62)))</f>
        <v>54.697663428571559</v>
      </c>
      <c r="H133" s="37">
        <f>((E57*(G57+8))-(E58/100*E57*(G57+8)))-((E62*(G62+10))+((G94+5)*(E57-E62)))</f>
        <v>86.377663428571395</v>
      </c>
      <c r="I133" s="37">
        <f>((E57*(G57+12))-(E58/100*E57*(G57+12)))-((E62*(G62+10))+((G94+5)*(E57-E62)))</f>
        <v>118.05766342857146</v>
      </c>
    </row>
    <row r="134" spans="1:10" x14ac:dyDescent="0.25">
      <c r="C134" s="49">
        <f>G94/100+0.1</f>
        <v>0.52074112190476196</v>
      </c>
      <c r="D134" s="37">
        <f>((E57*(G57-8))-(E58/100*E57*(G57-8)))-((E62*(G62+10))+((G94+10)*(E57-E62)))</f>
        <v>-55.342336571428405</v>
      </c>
      <c r="E134" s="37">
        <f>((E57*(G57-4))-(E58/100*E76*(G57-4)))-((E62*(G62+10))+((G94+10)*(E57-E62)))</f>
        <v>-12.222336571428514</v>
      </c>
      <c r="F134" s="37">
        <f>((E57*(G57))-(E58/100*E57*(G57)))-((E62*(G62+10))+((G94+10)*(E57-E62)))</f>
        <v>8.0176634285714954</v>
      </c>
      <c r="G134" s="37">
        <f>((E57*(G57+4))-(E58/100*E57*(G57+4)))-((E62*(G62+10))+((G94+10)*(E57-E62)))</f>
        <v>39.697663428571559</v>
      </c>
      <c r="H134" s="37">
        <f>((E57*(G57+8))-(E58/100*E57*(G57+8)))-((E62*(G62+10))+((G94+10)*(E57-E62)))</f>
        <v>71.377663428571395</v>
      </c>
      <c r="I134" s="37">
        <f>((E57*(G57+12))-(E58/100*E57*(G57+12)))-((E62*(G62+10))+((G94+10)*(E57-E62)))</f>
        <v>103.05766342857146</v>
      </c>
    </row>
    <row r="136" spans="1:10" ht="15" customHeight="1" x14ac:dyDescent="0.25">
      <c r="A136" s="247"/>
      <c r="B136" s="247"/>
      <c r="C136" s="247"/>
      <c r="D136" s="247"/>
      <c r="E136" s="247"/>
      <c r="F136" s="247"/>
      <c r="G136" s="247"/>
      <c r="H136" s="247"/>
      <c r="I136" s="247"/>
      <c r="J136" s="20"/>
    </row>
    <row r="137" spans="1:10" x14ac:dyDescent="0.25">
      <c r="A137" s="247"/>
      <c r="B137" s="247"/>
      <c r="C137" s="247"/>
      <c r="D137" s="247"/>
      <c r="E137" s="247"/>
      <c r="F137" s="247"/>
      <c r="G137" s="247"/>
      <c r="H137" s="247"/>
      <c r="I137" s="247"/>
      <c r="J137" s="20"/>
    </row>
    <row r="138" spans="1:10" x14ac:dyDescent="0.25">
      <c r="A138" s="20"/>
      <c r="I138" s="163"/>
      <c r="J138" s="20"/>
    </row>
    <row r="139" spans="1:10" x14ac:dyDescent="0.25">
      <c r="A139" s="266"/>
      <c r="B139" s="266"/>
      <c r="C139" s="266"/>
      <c r="D139" s="266"/>
      <c r="E139" s="266"/>
      <c r="F139" s="266"/>
      <c r="G139" s="266"/>
      <c r="H139" s="266"/>
      <c r="I139" s="266"/>
      <c r="J139" s="20"/>
    </row>
    <row r="140" spans="1:10" x14ac:dyDescent="0.25">
      <c r="A140" s="266"/>
      <c r="B140" s="266"/>
      <c r="C140" s="266"/>
      <c r="D140" s="266"/>
      <c r="E140" s="266"/>
      <c r="F140" s="266"/>
      <c r="G140" s="266"/>
      <c r="H140" s="266"/>
      <c r="I140" s="266"/>
    </row>
    <row r="141" spans="1:10" x14ac:dyDescent="0.25">
      <c r="G141" s="25"/>
      <c r="I141" s="166"/>
    </row>
    <row r="142" spans="1:10" ht="15" customHeight="1" x14ac:dyDescent="0.25">
      <c r="A142" s="267"/>
      <c r="B142" s="267"/>
      <c r="C142" s="267"/>
      <c r="D142" s="267"/>
      <c r="E142" s="267"/>
      <c r="F142" s="267"/>
      <c r="G142" s="267"/>
      <c r="H142" s="267"/>
      <c r="I142" s="267"/>
    </row>
    <row r="143" spans="1:10" x14ac:dyDescent="0.25">
      <c r="A143" s="167"/>
      <c r="B143" s="167"/>
      <c r="C143" s="167"/>
      <c r="D143" s="167"/>
      <c r="E143" s="167"/>
      <c r="F143" s="167"/>
      <c r="G143" s="167"/>
      <c r="H143" s="167"/>
      <c r="I143" s="167"/>
    </row>
    <row r="144" spans="1:10" x14ac:dyDescent="0.25">
      <c r="A144" s="20"/>
      <c r="G144" s="25"/>
      <c r="I144" s="167"/>
    </row>
    <row r="146" spans="1:1" x14ac:dyDescent="0.25">
      <c r="A146" s="50"/>
    </row>
    <row r="148" spans="1:1" x14ac:dyDescent="0.25">
      <c r="A148" s="20"/>
    </row>
    <row r="149" spans="1:1" x14ac:dyDescent="0.25">
      <c r="A149" s="50"/>
    </row>
    <row r="150" spans="1:1" x14ac:dyDescent="0.25">
      <c r="A150" s="20"/>
    </row>
    <row r="161" spans="1:1" x14ac:dyDescent="0.25">
      <c r="A161" s="20"/>
    </row>
  </sheetData>
  <sheetProtection sheet="1" objects="1" scenarios="1"/>
  <mergeCells count="22">
    <mergeCell ref="J45:M48"/>
    <mergeCell ref="C93:E93"/>
    <mergeCell ref="E94:F94"/>
    <mergeCell ref="A2:H2"/>
    <mergeCell ref="A10:I10"/>
    <mergeCell ref="A11:I11"/>
    <mergeCell ref="F43:F44"/>
    <mergeCell ref="G41:G44"/>
    <mergeCell ref="A136:I137"/>
    <mergeCell ref="A139:I139"/>
    <mergeCell ref="A140:I140"/>
    <mergeCell ref="A142:I142"/>
    <mergeCell ref="A1:I1"/>
    <mergeCell ref="A5:I9"/>
    <mergeCell ref="C96:E96"/>
    <mergeCell ref="B109:C109"/>
    <mergeCell ref="B108:C108"/>
    <mergeCell ref="B107:C107"/>
    <mergeCell ref="B113:C113"/>
    <mergeCell ref="B112:C112"/>
    <mergeCell ref="B111:C111"/>
    <mergeCell ref="B110:C110"/>
  </mergeCells>
  <phoneticPr fontId="3" type="noConversion"/>
  <conditionalFormatting sqref="D130:I134">
    <cfRule type="colorScale" priority="2">
      <colorScale>
        <cfvo type="num" val="0"/>
        <cfvo type="num" val="1"/>
        <cfvo type="max"/>
        <color rgb="FFF8696B"/>
        <color rgb="FFFFEB84"/>
        <color rgb="FF63BE7B"/>
      </colorScale>
    </cfRule>
    <cfRule type="colorScale" priority="3">
      <colorScale>
        <cfvo type="min"/>
        <cfvo type="percentile" val="50"/>
        <cfvo type="max"/>
        <color rgb="FFF8696B"/>
        <color rgb="FFFFEB84"/>
        <color rgb="FF63BE7B"/>
      </colorScale>
    </cfRule>
  </conditionalFormatting>
  <conditionalFormatting sqref="H31">
    <cfRule type="iconSet" priority="1">
      <iconSet>
        <cfvo type="percent" val="0"/>
        <cfvo type="percent" val="33"/>
        <cfvo type="percent" val="67"/>
      </iconSet>
    </cfRule>
  </conditionalFormatting>
  <conditionalFormatting sqref="D109:I113">
    <cfRule type="colorScale" priority="27">
      <colorScale>
        <cfvo type="num" val="0"/>
        <cfvo type="num" val="1"/>
        <cfvo type="max"/>
        <color rgb="FFF8696B"/>
        <color rgb="FFFFEB84"/>
        <color rgb="FF63BE7B"/>
      </colorScale>
    </cfRule>
    <cfRule type="colorScale" priority="28">
      <colorScale>
        <cfvo type="num" val="0"/>
        <cfvo type="percentile" val="50"/>
        <cfvo type="max"/>
        <color rgb="FFF8696B"/>
        <color rgb="FFFFEB84"/>
        <color rgb="FF63BE7B"/>
      </colorScale>
    </cfRule>
    <cfRule type="colorScale" priority="29">
      <colorScale>
        <cfvo type="min"/>
        <cfvo type="num" val="$I$90"/>
        <cfvo type="max"/>
        <color rgb="FFF8696B"/>
        <color rgb="FFFFEB84"/>
        <color rgb="FF63BE7B"/>
      </colorScale>
    </cfRule>
  </conditionalFormatting>
  <conditionalFormatting sqref="D120:I124">
    <cfRule type="colorScale" priority="30">
      <colorScale>
        <cfvo type="num" val="0"/>
        <cfvo type="num" val="1"/>
        <cfvo type="max"/>
        <color rgb="FFF8696B"/>
        <color rgb="FFFFEB84"/>
        <color rgb="FF63BE7B"/>
      </colorScale>
    </cfRule>
    <cfRule type="colorScale" priority="31">
      <colorScale>
        <cfvo type="min"/>
        <cfvo type="num" val="$I$90"/>
        <cfvo type="max"/>
        <color rgb="FFF8696B"/>
        <color rgb="FFFFEB84"/>
        <color rgb="FF63BE7B"/>
      </colorScale>
    </cfRule>
  </conditionalFormatting>
  <pageMargins left="0.75" right="0.75" top="0.75" bottom="0.75" header="0.5" footer="0.5"/>
  <pageSetup orientation="portrait" horizontalDpi="300" verticalDpi="300" r:id="rId1"/>
  <headerFooter alignWithMargins="0"/>
  <rowBreaks count="2" manualBreakCount="2">
    <brk id="54" max="16383" man="1"/>
    <brk id="1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N154"/>
  <sheetViews>
    <sheetView zoomScaleNormal="100" workbookViewId="0">
      <selection activeCell="K70" sqref="K70"/>
    </sheetView>
  </sheetViews>
  <sheetFormatPr defaultColWidth="10.25" defaultRowHeight="15" x14ac:dyDescent="0.25"/>
  <cols>
    <col min="1" max="1" width="4.375" style="9" customWidth="1"/>
    <col min="2" max="2" width="8.625" style="9" customWidth="1"/>
    <col min="3" max="3" width="11.25" style="9" customWidth="1"/>
    <col min="4" max="4" width="9.5" style="9" customWidth="1"/>
    <col min="5" max="8" width="9.625" style="9" customWidth="1"/>
    <col min="9" max="9" width="10.75" style="9" customWidth="1"/>
    <col min="10" max="10" width="10.25" style="9" customWidth="1"/>
    <col min="11" max="11" width="10.75" style="9" customWidth="1"/>
    <col min="12" max="16384" width="10.25" style="9"/>
  </cols>
  <sheetData>
    <row r="1" spans="1:13" ht="19.5" customHeight="1" x14ac:dyDescent="0.35">
      <c r="A1" s="286" t="s">
        <v>216</v>
      </c>
      <c r="B1" s="286"/>
      <c r="C1" s="286"/>
      <c r="D1" s="286"/>
      <c r="E1" s="286"/>
      <c r="F1" s="286"/>
      <c r="G1" s="286"/>
      <c r="H1" s="286"/>
      <c r="I1" s="286"/>
    </row>
    <row r="2" spans="1:13" x14ac:dyDescent="0.25">
      <c r="C2" s="20"/>
      <c r="F2" s="20"/>
      <c r="H2" s="292">
        <f>+'Step 1 - Feed Cost Input Sheet '!F20</f>
        <v>42417</v>
      </c>
      <c r="I2" s="292"/>
      <c r="J2" s="67"/>
    </row>
    <row r="3" spans="1:13" x14ac:dyDescent="0.25">
      <c r="A3" s="3" t="s">
        <v>41</v>
      </c>
      <c r="B3" s="56">
        <f>+(D15-D20)*100</f>
        <v>700</v>
      </c>
      <c r="C3" s="20" t="s">
        <v>128</v>
      </c>
      <c r="D3" s="160">
        <f>+I20</f>
        <v>7</v>
      </c>
      <c r="E3" s="20" t="s">
        <v>73</v>
      </c>
      <c r="G3" s="21">
        <f>B3/(D3*30)</f>
        <v>3.3333333333333335</v>
      </c>
      <c r="H3" s="20" t="s">
        <v>110</v>
      </c>
      <c r="J3" s="67"/>
    </row>
    <row r="4" spans="1:13" x14ac:dyDescent="0.25">
      <c r="J4" s="67"/>
    </row>
    <row r="5" spans="1:13" ht="15" customHeight="1" x14ac:dyDescent="0.25">
      <c r="A5" s="291" t="s">
        <v>111</v>
      </c>
      <c r="B5" s="247"/>
      <c r="C5" s="247"/>
      <c r="D5" s="247"/>
      <c r="E5" s="247"/>
      <c r="F5" s="247"/>
      <c r="G5" s="247"/>
      <c r="H5" s="247"/>
      <c r="I5" s="247"/>
      <c r="J5" s="67"/>
    </row>
    <row r="6" spans="1:13" x14ac:dyDescent="0.25">
      <c r="A6" s="247"/>
      <c r="B6" s="247"/>
      <c r="C6" s="247"/>
      <c r="D6" s="247"/>
      <c r="E6" s="247"/>
      <c r="F6" s="247"/>
      <c r="G6" s="247"/>
      <c r="H6" s="247"/>
      <c r="I6" s="247"/>
      <c r="J6" s="67"/>
    </row>
    <row r="7" spans="1:13" x14ac:dyDescent="0.25">
      <c r="A7" s="247"/>
      <c r="B7" s="247"/>
      <c r="C7" s="247"/>
      <c r="D7" s="247"/>
      <c r="E7" s="247"/>
      <c r="F7" s="247"/>
      <c r="G7" s="247"/>
      <c r="H7" s="247"/>
      <c r="I7" s="247"/>
      <c r="J7" s="67"/>
    </row>
    <row r="8" spans="1:13" x14ac:dyDescent="0.25">
      <c r="A8" s="247"/>
      <c r="B8" s="247"/>
      <c r="C8" s="247"/>
      <c r="D8" s="247"/>
      <c r="E8" s="247"/>
      <c r="F8" s="247"/>
      <c r="G8" s="247"/>
      <c r="H8" s="247"/>
      <c r="I8" s="247"/>
      <c r="J8" s="67"/>
    </row>
    <row r="9" spans="1:13" x14ac:dyDescent="0.25">
      <c r="A9" s="247"/>
      <c r="B9" s="247"/>
      <c r="C9" s="247"/>
      <c r="D9" s="247"/>
      <c r="E9" s="247"/>
      <c r="F9" s="247"/>
      <c r="G9" s="247"/>
      <c r="H9" s="247"/>
      <c r="I9" s="247"/>
      <c r="J9" s="67"/>
    </row>
    <row r="10" spans="1:13" x14ac:dyDescent="0.25">
      <c r="A10" s="278" t="s">
        <v>0</v>
      </c>
      <c r="B10" s="278"/>
      <c r="C10" s="278"/>
      <c r="D10" s="278"/>
      <c r="E10" s="278"/>
      <c r="F10" s="278"/>
      <c r="G10" s="278"/>
      <c r="H10" s="278"/>
      <c r="I10" s="278"/>
      <c r="J10" s="67"/>
    </row>
    <row r="11" spans="1:13" x14ac:dyDescent="0.25">
      <c r="A11" s="26" t="s">
        <v>120</v>
      </c>
      <c r="C11" s="161" t="s">
        <v>210</v>
      </c>
      <c r="H11" s="1" t="s">
        <v>211</v>
      </c>
      <c r="J11" s="67"/>
    </row>
    <row r="12" spans="1:13" ht="15.75" thickBot="1" x14ac:dyDescent="0.3">
      <c r="D12" s="20" t="s">
        <v>42</v>
      </c>
      <c r="J12" s="67"/>
    </row>
    <row r="13" spans="1:13" ht="15.75" thickBot="1" x14ac:dyDescent="0.3">
      <c r="A13" s="28" t="s">
        <v>3</v>
      </c>
      <c r="B13" s="33"/>
      <c r="C13" s="33"/>
      <c r="D13" s="28" t="s">
        <v>4</v>
      </c>
      <c r="E13" s="33"/>
      <c r="F13" s="28" t="s">
        <v>3</v>
      </c>
      <c r="G13" s="33"/>
      <c r="H13" s="28" t="s">
        <v>5</v>
      </c>
      <c r="I13" s="33"/>
      <c r="J13" s="67"/>
    </row>
    <row r="14" spans="1:13" x14ac:dyDescent="0.25">
      <c r="A14" s="14" t="s">
        <v>6</v>
      </c>
      <c r="E14" s="31" t="s">
        <v>7</v>
      </c>
      <c r="F14" s="14" t="s">
        <v>12</v>
      </c>
      <c r="J14" s="284" t="s">
        <v>149</v>
      </c>
      <c r="K14" s="284"/>
      <c r="L14" s="284"/>
      <c r="M14" s="284"/>
    </row>
    <row r="15" spans="1:13" x14ac:dyDescent="0.25">
      <c r="A15" s="20" t="s">
        <v>90</v>
      </c>
      <c r="D15" s="10">
        <v>14</v>
      </c>
      <c r="E15" s="31" t="s">
        <v>7</v>
      </c>
      <c r="F15" s="20" t="s">
        <v>112</v>
      </c>
      <c r="I15" s="10">
        <v>6</v>
      </c>
      <c r="J15" s="284"/>
      <c r="K15" s="284"/>
      <c r="L15" s="284"/>
      <c r="M15" s="284"/>
    </row>
    <row r="16" spans="1:13" x14ac:dyDescent="0.25">
      <c r="A16" s="20" t="s">
        <v>91</v>
      </c>
      <c r="D16" s="76">
        <v>115</v>
      </c>
      <c r="E16" s="31" t="s">
        <v>7</v>
      </c>
      <c r="F16" s="20" t="s">
        <v>113</v>
      </c>
      <c r="I16" s="76">
        <v>6</v>
      </c>
      <c r="J16" s="284"/>
      <c r="K16" s="284"/>
      <c r="L16" s="284"/>
      <c r="M16" s="284"/>
    </row>
    <row r="17" spans="1:13" x14ac:dyDescent="0.25">
      <c r="A17" s="20" t="s">
        <v>92</v>
      </c>
      <c r="D17" s="10">
        <v>1</v>
      </c>
      <c r="E17" s="31" t="s">
        <v>7</v>
      </c>
      <c r="F17" s="20" t="s">
        <v>114</v>
      </c>
      <c r="I17" s="76">
        <v>100</v>
      </c>
      <c r="J17" s="20"/>
      <c r="L17" s="53"/>
    </row>
    <row r="18" spans="1:13" x14ac:dyDescent="0.25">
      <c r="E18" s="31" t="s">
        <v>7</v>
      </c>
      <c r="I18" s="12"/>
      <c r="J18" s="20"/>
      <c r="L18" s="54"/>
    </row>
    <row r="19" spans="1:13" x14ac:dyDescent="0.25">
      <c r="A19" s="14" t="s">
        <v>43</v>
      </c>
      <c r="E19" s="31" t="s">
        <v>7</v>
      </c>
      <c r="F19" s="14" t="s">
        <v>46</v>
      </c>
      <c r="I19" s="12"/>
    </row>
    <row r="20" spans="1:13" x14ac:dyDescent="0.25">
      <c r="A20" s="20" t="s">
        <v>93</v>
      </c>
      <c r="D20" s="10">
        <v>7</v>
      </c>
      <c r="E20" s="31" t="s">
        <v>7</v>
      </c>
      <c r="F20" s="20" t="s">
        <v>115</v>
      </c>
      <c r="I20" s="13">
        <v>7</v>
      </c>
      <c r="J20" s="72">
        <f>+I20*30</f>
        <v>210</v>
      </c>
      <c r="K20" s="73" t="s">
        <v>142</v>
      </c>
    </row>
    <row r="21" spans="1:13" x14ac:dyDescent="0.25">
      <c r="A21" s="20" t="s">
        <v>94</v>
      </c>
      <c r="D21" s="76">
        <v>161</v>
      </c>
      <c r="E21" s="31" t="s">
        <v>7</v>
      </c>
      <c r="F21" s="69"/>
    </row>
    <row r="22" spans="1:13" ht="15.75" thickBot="1" x14ac:dyDescent="0.3">
      <c r="D22" s="12"/>
      <c r="E22" s="31" t="s">
        <v>7</v>
      </c>
      <c r="F22" s="12" t="s">
        <v>143</v>
      </c>
      <c r="J22" s="32"/>
    </row>
    <row r="23" spans="1:13" ht="16.5" thickTop="1" thickBot="1" x14ac:dyDescent="0.3">
      <c r="A23" s="14" t="s">
        <v>44</v>
      </c>
      <c r="D23" s="12"/>
      <c r="E23" s="31" t="s">
        <v>7</v>
      </c>
      <c r="F23" s="9" t="s">
        <v>147</v>
      </c>
      <c r="I23" s="93">
        <v>0</v>
      </c>
      <c r="J23" s="285" t="s">
        <v>150</v>
      </c>
      <c r="K23" s="285"/>
      <c r="L23" s="285"/>
      <c r="M23" s="285"/>
    </row>
    <row r="24" spans="1:13" ht="15.75" thickTop="1" x14ac:dyDescent="0.25">
      <c r="A24" s="20" t="s">
        <v>95</v>
      </c>
      <c r="D24" s="76">
        <v>5</v>
      </c>
      <c r="E24" s="31" t="s">
        <v>7</v>
      </c>
      <c r="F24" s="9" t="s">
        <v>145</v>
      </c>
      <c r="I24" s="75">
        <v>90</v>
      </c>
      <c r="J24" s="285"/>
      <c r="K24" s="285"/>
      <c r="L24" s="285"/>
      <c r="M24" s="285"/>
    </row>
    <row r="25" spans="1:13" ht="15.75" thickBot="1" x14ac:dyDescent="0.3">
      <c r="A25" s="20" t="s">
        <v>96</v>
      </c>
      <c r="D25" s="76">
        <v>30</v>
      </c>
      <c r="E25" s="31" t="s">
        <v>7</v>
      </c>
      <c r="F25" s="9" t="s">
        <v>144</v>
      </c>
      <c r="I25" s="74">
        <v>3.3</v>
      </c>
      <c r="J25" s="285"/>
      <c r="K25" s="285"/>
      <c r="L25" s="285"/>
      <c r="M25" s="285"/>
    </row>
    <row r="26" spans="1:13" ht="16.5" thickTop="1" thickBot="1" x14ac:dyDescent="0.3">
      <c r="A26" s="20" t="s">
        <v>97</v>
      </c>
      <c r="D26" s="76">
        <v>18</v>
      </c>
      <c r="E26" s="31" t="s">
        <v>7</v>
      </c>
      <c r="F26" s="9" t="s">
        <v>146</v>
      </c>
      <c r="I26" s="94">
        <v>10</v>
      </c>
      <c r="J26" s="285"/>
      <c r="K26" s="285"/>
      <c r="L26" s="285"/>
      <c r="M26" s="285"/>
    </row>
    <row r="27" spans="1:13" ht="15" customHeight="1" thickTop="1" x14ac:dyDescent="0.25">
      <c r="B27" s="9" t="s">
        <v>148</v>
      </c>
      <c r="D27" s="20"/>
      <c r="F27" s="9" t="s">
        <v>152</v>
      </c>
      <c r="I27" s="95">
        <v>25</v>
      </c>
    </row>
    <row r="28" spans="1:13" x14ac:dyDescent="0.25">
      <c r="A28" s="85"/>
      <c r="B28" s="85"/>
      <c r="C28" s="85"/>
      <c r="D28" s="86"/>
      <c r="E28" s="85"/>
      <c r="F28" s="289" t="s">
        <v>137</v>
      </c>
      <c r="G28" s="289" t="s">
        <v>138</v>
      </c>
      <c r="H28" s="85"/>
      <c r="I28" s="58"/>
    </row>
    <row r="29" spans="1:13" x14ac:dyDescent="0.25">
      <c r="A29" s="30" t="s">
        <v>82</v>
      </c>
      <c r="B29" s="58"/>
      <c r="C29" s="58"/>
      <c r="D29" s="87"/>
      <c r="E29" s="88"/>
      <c r="F29" s="257"/>
      <c r="G29" s="257"/>
      <c r="H29" s="257" t="s">
        <v>139</v>
      </c>
      <c r="I29" s="58"/>
    </row>
    <row r="30" spans="1:13" x14ac:dyDescent="0.25">
      <c r="A30" s="58"/>
      <c r="B30" s="15" t="s">
        <v>83</v>
      </c>
      <c r="C30" s="15"/>
      <c r="D30" s="15"/>
      <c r="E30" s="15"/>
      <c r="F30" s="248"/>
      <c r="G30" s="248"/>
      <c r="H30" s="248"/>
      <c r="I30" s="15" t="s">
        <v>140</v>
      </c>
    </row>
    <row r="31" spans="1:13" x14ac:dyDescent="0.25">
      <c r="A31" s="63"/>
      <c r="B31" s="107" t="str">
        <f>+'Step 1 - Feed Cost Input Sheet '!A21</f>
        <v>Limestone</v>
      </c>
      <c r="C31" s="60"/>
      <c r="D31" s="60"/>
      <c r="F31" s="70">
        <v>1.33</v>
      </c>
      <c r="G31" s="9">
        <f>+(F31/100)*$J$20</f>
        <v>2.7930000000000001</v>
      </c>
      <c r="H31" s="117">
        <f>+'Step 1 - Feed Cost Input Sheet '!B21</f>
        <v>10</v>
      </c>
      <c r="I31" s="60" t="s">
        <v>84</v>
      </c>
      <c r="J31" s="288" t="s">
        <v>109</v>
      </c>
      <c r="K31" s="288"/>
      <c r="L31" s="288"/>
      <c r="M31" s="288"/>
    </row>
    <row r="32" spans="1:13" x14ac:dyDescent="0.25">
      <c r="A32" s="63"/>
      <c r="B32" s="107" t="str">
        <f>+'Step 1 - Feed Cost Input Sheet '!A22</f>
        <v>Mineral &amp; Salt</v>
      </c>
      <c r="C32" s="60"/>
      <c r="D32" s="60"/>
      <c r="F32" s="70">
        <v>0</v>
      </c>
      <c r="G32" s="9">
        <f>+(F32/100)*$J$20</f>
        <v>0</v>
      </c>
      <c r="H32" s="117">
        <f>+'Step 1 - Feed Cost Input Sheet '!B22</f>
        <v>22</v>
      </c>
      <c r="I32" s="60" t="s">
        <v>84</v>
      </c>
      <c r="J32" s="288"/>
      <c r="K32" s="288"/>
      <c r="L32" s="288"/>
      <c r="M32" s="288"/>
    </row>
    <row r="33" spans="1:14" x14ac:dyDescent="0.25">
      <c r="A33" s="63"/>
      <c r="B33" s="107" t="str">
        <f>+'Step 1 - Feed Cost Input Sheet '!A23</f>
        <v>Dry Corn</v>
      </c>
      <c r="C33" s="60"/>
      <c r="D33" s="60"/>
      <c r="F33" s="70">
        <v>6.77</v>
      </c>
      <c r="G33" s="9">
        <f>+(F33/56)*$J$20</f>
        <v>25.387499999999999</v>
      </c>
      <c r="H33" s="117">
        <f>+'Step 1 - Feed Cost Input Sheet '!B23</f>
        <v>3.27</v>
      </c>
      <c r="I33" s="60" t="s">
        <v>85</v>
      </c>
      <c r="J33" s="288"/>
      <c r="K33" s="288"/>
      <c r="L33" s="288"/>
      <c r="M33" s="288"/>
      <c r="N33" s="1"/>
    </row>
    <row r="34" spans="1:14" x14ac:dyDescent="0.25">
      <c r="A34" s="63"/>
      <c r="B34" s="107" t="str">
        <f>+'Step 1 - Feed Cost Input Sheet '!A24</f>
        <v>High Moisture Corn</v>
      </c>
      <c r="C34" s="60"/>
      <c r="D34" s="60"/>
      <c r="F34" s="70">
        <v>3.48</v>
      </c>
      <c r="G34" s="9">
        <f>+(F34/56)*$J$20</f>
        <v>13.05</v>
      </c>
      <c r="H34" s="117">
        <f>+'Step 1 - Feed Cost Input Sheet '!B24</f>
        <v>2.27</v>
      </c>
      <c r="I34" s="60" t="s">
        <v>85</v>
      </c>
      <c r="J34" s="288"/>
      <c r="K34" s="288"/>
      <c r="L34" s="288"/>
      <c r="M34" s="288"/>
    </row>
    <row r="35" spans="1:14" x14ac:dyDescent="0.25">
      <c r="A35" s="63"/>
      <c r="B35" s="107" t="str">
        <f>+'Step 1 - Feed Cost Input Sheet '!A25</f>
        <v>Hay</v>
      </c>
      <c r="C35" s="60"/>
      <c r="D35" s="60"/>
      <c r="F35" s="70">
        <v>0.56999999999999995</v>
      </c>
      <c r="G35" s="9">
        <f>+(F35/2000)*$J$20</f>
        <v>5.985E-2</v>
      </c>
      <c r="H35" s="117">
        <f>+'Step 1 - Feed Cost Input Sheet '!B25</f>
        <v>90</v>
      </c>
      <c r="I35" s="60" t="s">
        <v>86</v>
      </c>
    </row>
    <row r="36" spans="1:14" x14ac:dyDescent="0.25">
      <c r="A36" s="63"/>
      <c r="B36" s="107" t="str">
        <f>+'Step 1 - Feed Cost Input Sheet '!A26</f>
        <v>Alfalfa</v>
      </c>
      <c r="C36" s="60"/>
      <c r="D36" s="60"/>
      <c r="F36" s="70">
        <v>0</v>
      </c>
      <c r="G36" s="9">
        <f>+(F36/2000)*$J$20</f>
        <v>0</v>
      </c>
      <c r="H36" s="117">
        <f>+'Step 1 - Feed Cost Input Sheet '!B26</f>
        <v>100</v>
      </c>
      <c r="I36" s="60" t="s">
        <v>86</v>
      </c>
    </row>
    <row r="37" spans="1:14" x14ac:dyDescent="0.25">
      <c r="A37" s="63"/>
      <c r="B37" s="107" t="str">
        <f>+'Step 1 - Feed Cost Input Sheet '!A27</f>
        <v>Silage</v>
      </c>
      <c r="C37" s="162"/>
      <c r="D37" s="60"/>
      <c r="F37" s="70">
        <v>1.83</v>
      </c>
      <c r="G37" s="9">
        <f>+(F37/2000)*$J$20</f>
        <v>0.19215000000000002</v>
      </c>
      <c r="H37" s="117">
        <f>+'Step 1 - Feed Cost Input Sheet '!B27</f>
        <v>32</v>
      </c>
      <c r="I37" s="60" t="s">
        <v>86</v>
      </c>
    </row>
    <row r="38" spans="1:14" x14ac:dyDescent="0.25">
      <c r="A38" s="63"/>
      <c r="B38" s="107" t="str">
        <f>+'Step 1 - Feed Cost Input Sheet '!A28</f>
        <v>Corn Stover</v>
      </c>
      <c r="C38" s="60"/>
      <c r="D38" s="60"/>
      <c r="F38" s="70">
        <v>2.0499999999999998</v>
      </c>
      <c r="G38" s="9">
        <f>+(F38/2000)*$J$20</f>
        <v>0.21524999999999997</v>
      </c>
      <c r="H38" s="117">
        <f>+'Step 1 - Feed Cost Input Sheet '!B28</f>
        <v>55</v>
      </c>
      <c r="I38" s="60" t="s">
        <v>86</v>
      </c>
    </row>
    <row r="39" spans="1:14" x14ac:dyDescent="0.25">
      <c r="A39" s="63"/>
      <c r="B39" s="107" t="str">
        <f>+'Step 1 - Feed Cost Input Sheet '!A29</f>
        <v>Modified Distillers</v>
      </c>
      <c r="C39" s="60"/>
      <c r="D39" s="60"/>
      <c r="F39" s="70">
        <v>1.73</v>
      </c>
      <c r="G39" s="9">
        <f>+(F39/2000)*$J$20</f>
        <v>0.18165000000000001</v>
      </c>
      <c r="H39" s="117">
        <f>+'Step 1 - Feed Cost Input Sheet '!B29</f>
        <v>125</v>
      </c>
      <c r="I39" s="60" t="s">
        <v>86</v>
      </c>
    </row>
    <row r="40" spans="1:14" x14ac:dyDescent="0.25">
      <c r="A40" s="89"/>
      <c r="B40" s="171" t="str">
        <f>+'Step 1 - Feed Cost Input Sheet '!A30</f>
        <v>Pasture</v>
      </c>
      <c r="C40" s="90"/>
      <c r="D40" s="91"/>
      <c r="E40" s="15"/>
      <c r="F40" s="92">
        <v>0</v>
      </c>
      <c r="G40" s="15">
        <f>+(F40/0.75)*$J$20</f>
        <v>0</v>
      </c>
      <c r="H40" s="172">
        <f>+'Step 1 - Feed Cost Input Sheet '!B30</f>
        <v>45</v>
      </c>
      <c r="I40" s="90" t="s">
        <v>119</v>
      </c>
    </row>
    <row r="41" spans="1:14" x14ac:dyDescent="0.25">
      <c r="A41" s="189" t="s">
        <v>332</v>
      </c>
      <c r="B41" s="35"/>
      <c r="C41" s="35"/>
      <c r="D41" s="20" t="s">
        <v>74</v>
      </c>
      <c r="E41" s="35"/>
      <c r="F41" s="35">
        <f>SUM(F31:F40)</f>
        <v>17.760000000000002</v>
      </c>
      <c r="G41" s="35"/>
      <c r="H41" s="35"/>
      <c r="I41" s="35"/>
    </row>
    <row r="42" spans="1:14" x14ac:dyDescent="0.25">
      <c r="A42" s="61"/>
      <c r="B42" s="61"/>
      <c r="C42" s="61"/>
      <c r="D42" s="61"/>
      <c r="E42" s="61"/>
      <c r="F42" s="61"/>
      <c r="G42" s="61"/>
      <c r="H42" s="61"/>
      <c r="I42" s="61"/>
      <c r="J42" s="55"/>
    </row>
    <row r="43" spans="1:14" x14ac:dyDescent="0.25">
      <c r="A43" s="14" t="s">
        <v>14</v>
      </c>
      <c r="B43" s="35"/>
      <c r="C43" s="35"/>
      <c r="D43" s="35"/>
      <c r="E43" s="35"/>
      <c r="F43" s="35"/>
      <c r="G43" s="35"/>
      <c r="H43" s="35"/>
      <c r="I43" s="35"/>
      <c r="J43" s="3"/>
    </row>
    <row r="44" spans="1:14" x14ac:dyDescent="0.25">
      <c r="A44" s="35"/>
      <c r="B44" s="20" t="s">
        <v>75</v>
      </c>
      <c r="C44" s="35"/>
      <c r="D44" s="35"/>
      <c r="E44" s="35">
        <f>D15</f>
        <v>14</v>
      </c>
      <c r="F44" s="21" t="s">
        <v>48</v>
      </c>
      <c r="G44" s="77">
        <f>D16</f>
        <v>115</v>
      </c>
      <c r="H44" s="35"/>
      <c r="I44" s="77">
        <f>E44*G44</f>
        <v>1610</v>
      </c>
      <c r="J44" s="52"/>
    </row>
    <row r="45" spans="1:14" ht="15.75" thickBot="1" x14ac:dyDescent="0.3">
      <c r="A45" s="35"/>
      <c r="B45" s="20" t="s">
        <v>49</v>
      </c>
      <c r="C45" s="35"/>
      <c r="D45" s="3" t="s">
        <v>32</v>
      </c>
      <c r="E45" s="36">
        <f>D17</f>
        <v>1</v>
      </c>
      <c r="F45" s="21" t="s">
        <v>76</v>
      </c>
      <c r="G45" s="77">
        <f>SUM(I44)</f>
        <v>1610</v>
      </c>
      <c r="H45" s="20" t="s">
        <v>30</v>
      </c>
      <c r="I45" s="79">
        <f>-(E45*G45/100)</f>
        <v>-16.100000000000001</v>
      </c>
      <c r="J45" s="52"/>
    </row>
    <row r="46" spans="1:14" ht="15.75" thickBot="1" x14ac:dyDescent="0.3">
      <c r="A46" s="35"/>
      <c r="B46" s="35"/>
      <c r="C46" s="35"/>
      <c r="D46" s="20" t="s">
        <v>15</v>
      </c>
      <c r="E46" s="35"/>
      <c r="F46" s="35"/>
      <c r="G46" s="35"/>
      <c r="H46" s="35"/>
      <c r="I46" s="80">
        <f>SUM(I44:I45)</f>
        <v>1593.9</v>
      </c>
      <c r="J46" s="52"/>
    </row>
    <row r="47" spans="1:14" x14ac:dyDescent="0.25">
      <c r="A47" s="35"/>
      <c r="B47" s="35"/>
      <c r="C47" s="35"/>
      <c r="D47" s="35"/>
      <c r="E47" s="35"/>
      <c r="F47" s="35"/>
      <c r="G47" s="35"/>
      <c r="H47" s="35"/>
      <c r="I47" s="35"/>
    </row>
    <row r="48" spans="1:14" x14ac:dyDescent="0.25">
      <c r="A48" s="14" t="s">
        <v>16</v>
      </c>
      <c r="B48" s="35"/>
      <c r="C48" s="35"/>
      <c r="D48" s="35"/>
      <c r="E48" s="35"/>
      <c r="F48" s="35"/>
      <c r="G48" s="35"/>
      <c r="H48" s="35"/>
      <c r="I48" s="35"/>
    </row>
    <row r="49" spans="1:10" x14ac:dyDescent="0.25">
      <c r="A49" s="35"/>
      <c r="B49" s="20" t="s">
        <v>77</v>
      </c>
      <c r="C49" s="35"/>
      <c r="D49" s="35"/>
      <c r="E49" s="35">
        <f>D20</f>
        <v>7</v>
      </c>
      <c r="F49" s="68" t="s">
        <v>18</v>
      </c>
      <c r="G49" s="77">
        <f>D21</f>
        <v>161</v>
      </c>
      <c r="H49" s="35"/>
      <c r="I49" s="77">
        <f>E49*G49</f>
        <v>1127</v>
      </c>
      <c r="J49" s="52"/>
    </row>
    <row r="50" spans="1:10" x14ac:dyDescent="0.25">
      <c r="A50" s="35"/>
      <c r="B50" s="20" t="s">
        <v>117</v>
      </c>
      <c r="C50" s="35"/>
      <c r="D50" s="35"/>
      <c r="E50" s="35"/>
      <c r="F50" s="68"/>
      <c r="G50" s="35"/>
      <c r="H50" s="35"/>
      <c r="I50" s="77">
        <f>+SUM(H51:H60)</f>
        <v>186.65092500000003</v>
      </c>
    </row>
    <row r="51" spans="1:10" x14ac:dyDescent="0.25">
      <c r="A51" s="35"/>
      <c r="B51" s="35"/>
      <c r="C51" s="20" t="str">
        <f t="shared" ref="C51:C60" si="0">+B31</f>
        <v>Limestone</v>
      </c>
      <c r="D51" s="35"/>
      <c r="E51" s="3">
        <f>+G31</f>
        <v>2.7930000000000001</v>
      </c>
      <c r="F51" s="68" t="s">
        <v>18</v>
      </c>
      <c r="G51" s="77">
        <f t="shared" ref="G51:G60" si="1">+H31</f>
        <v>10</v>
      </c>
      <c r="H51" s="77">
        <f>+E51*G51</f>
        <v>27.93</v>
      </c>
      <c r="I51" s="25"/>
      <c r="J51" s="52"/>
    </row>
    <row r="52" spans="1:10" x14ac:dyDescent="0.25">
      <c r="A52" s="35"/>
      <c r="B52" s="35"/>
      <c r="C52" s="20" t="str">
        <f t="shared" si="0"/>
        <v>Mineral &amp; Salt</v>
      </c>
      <c r="D52" s="35"/>
      <c r="E52" s="66">
        <f t="shared" ref="E52:E60" si="2">+G32</f>
        <v>0</v>
      </c>
      <c r="F52" s="68" t="s">
        <v>18</v>
      </c>
      <c r="G52" s="77">
        <f t="shared" si="1"/>
        <v>22</v>
      </c>
      <c r="H52" s="77">
        <f t="shared" ref="H52:H60" si="3">+E52*G52</f>
        <v>0</v>
      </c>
      <c r="I52" s="25"/>
      <c r="J52" s="52"/>
    </row>
    <row r="53" spans="1:10" x14ac:dyDescent="0.25">
      <c r="A53" s="35"/>
      <c r="B53" s="35"/>
      <c r="C53" s="35" t="str">
        <f t="shared" si="0"/>
        <v>Dry Corn</v>
      </c>
      <c r="D53" s="35"/>
      <c r="E53" s="66">
        <f t="shared" si="2"/>
        <v>25.387499999999999</v>
      </c>
      <c r="F53" s="68" t="s">
        <v>54</v>
      </c>
      <c r="G53" s="77">
        <f t="shared" si="1"/>
        <v>3.27</v>
      </c>
      <c r="H53" s="77">
        <f>+E53*G53</f>
        <v>83.017124999999993</v>
      </c>
      <c r="I53" s="35"/>
    </row>
    <row r="54" spans="1:10" x14ac:dyDescent="0.25">
      <c r="A54" s="35"/>
      <c r="B54" s="35"/>
      <c r="C54" s="35" t="str">
        <f t="shared" si="0"/>
        <v>High Moisture Corn</v>
      </c>
      <c r="D54" s="35"/>
      <c r="E54" s="66">
        <f t="shared" si="2"/>
        <v>13.05</v>
      </c>
      <c r="F54" s="68" t="s">
        <v>54</v>
      </c>
      <c r="G54" s="77">
        <f>+H34</f>
        <v>2.27</v>
      </c>
      <c r="H54" s="77">
        <f>+E54*G54</f>
        <v>29.623500000000003</v>
      </c>
      <c r="I54" s="35"/>
      <c r="J54" s="52"/>
    </row>
    <row r="55" spans="1:10" x14ac:dyDescent="0.25">
      <c r="A55" s="35"/>
      <c r="B55" s="35"/>
      <c r="C55" s="35" t="str">
        <f t="shared" si="0"/>
        <v>Hay</v>
      </c>
      <c r="D55" s="35"/>
      <c r="E55" s="66">
        <f t="shared" si="2"/>
        <v>5.985E-2</v>
      </c>
      <c r="F55" s="68" t="s">
        <v>55</v>
      </c>
      <c r="G55" s="77">
        <f>+H35</f>
        <v>90</v>
      </c>
      <c r="H55" s="77">
        <f t="shared" si="3"/>
        <v>5.3864999999999998</v>
      </c>
      <c r="I55" s="35"/>
      <c r="J55" s="52"/>
    </row>
    <row r="56" spans="1:10" x14ac:dyDescent="0.25">
      <c r="A56" s="35"/>
      <c r="B56" s="35"/>
      <c r="C56" s="35" t="str">
        <f t="shared" si="0"/>
        <v>Alfalfa</v>
      </c>
      <c r="D56" s="35"/>
      <c r="E56" s="66">
        <f t="shared" si="2"/>
        <v>0</v>
      </c>
      <c r="F56" s="68" t="s">
        <v>55</v>
      </c>
      <c r="G56" s="77">
        <f>+H36</f>
        <v>100</v>
      </c>
      <c r="H56" s="77">
        <f t="shared" si="3"/>
        <v>0</v>
      </c>
      <c r="I56" s="35"/>
      <c r="J56" s="52"/>
    </row>
    <row r="57" spans="1:10" x14ac:dyDescent="0.25">
      <c r="A57" s="35"/>
      <c r="B57" s="35"/>
      <c r="C57" s="35" t="str">
        <f t="shared" si="0"/>
        <v>Silage</v>
      </c>
      <c r="D57" s="35"/>
      <c r="E57" s="66">
        <f t="shared" si="2"/>
        <v>0.19215000000000002</v>
      </c>
      <c r="F57" s="68" t="s">
        <v>55</v>
      </c>
      <c r="G57" s="77">
        <f t="shared" si="1"/>
        <v>32</v>
      </c>
      <c r="H57" s="77">
        <f t="shared" si="3"/>
        <v>6.1488000000000005</v>
      </c>
      <c r="I57" s="35"/>
    </row>
    <row r="58" spans="1:10" x14ac:dyDescent="0.25">
      <c r="A58" s="35"/>
      <c r="B58" s="35"/>
      <c r="C58" s="20" t="str">
        <f t="shared" si="0"/>
        <v>Corn Stover</v>
      </c>
      <c r="D58" s="35"/>
      <c r="E58" s="66">
        <f t="shared" si="2"/>
        <v>0.21524999999999997</v>
      </c>
      <c r="F58" s="68" t="s">
        <v>55</v>
      </c>
      <c r="G58" s="77">
        <f t="shared" si="1"/>
        <v>55</v>
      </c>
      <c r="H58" s="77">
        <f t="shared" si="3"/>
        <v>11.838749999999997</v>
      </c>
      <c r="I58" s="25"/>
      <c r="J58" s="52"/>
    </row>
    <row r="59" spans="1:10" x14ac:dyDescent="0.25">
      <c r="A59" s="35"/>
      <c r="B59" s="35"/>
      <c r="C59" s="20" t="str">
        <f t="shared" si="0"/>
        <v>Modified Distillers</v>
      </c>
      <c r="D59" s="35"/>
      <c r="E59" s="66">
        <f t="shared" si="2"/>
        <v>0.18165000000000001</v>
      </c>
      <c r="F59" s="68" t="s">
        <v>55</v>
      </c>
      <c r="G59" s="77">
        <f t="shared" si="1"/>
        <v>125</v>
      </c>
      <c r="H59" s="77">
        <f t="shared" si="3"/>
        <v>22.706250000000001</v>
      </c>
      <c r="I59" s="25"/>
      <c r="J59" s="52"/>
    </row>
    <row r="60" spans="1:10" x14ac:dyDescent="0.25">
      <c r="A60" s="35"/>
      <c r="B60" s="35"/>
      <c r="C60" s="20" t="str">
        <f t="shared" si="0"/>
        <v>Pasture</v>
      </c>
      <c r="D60" s="35"/>
      <c r="E60" s="66">
        <f t="shared" si="2"/>
        <v>0</v>
      </c>
      <c r="F60" s="68" t="s">
        <v>130</v>
      </c>
      <c r="G60" s="77">
        <f t="shared" si="1"/>
        <v>45</v>
      </c>
      <c r="H60" s="77">
        <f t="shared" si="3"/>
        <v>0</v>
      </c>
      <c r="I60" s="35"/>
      <c r="J60" s="52"/>
    </row>
    <row r="61" spans="1:10" x14ac:dyDescent="0.25">
      <c r="A61" s="35"/>
      <c r="B61" s="20" t="s">
        <v>19</v>
      </c>
      <c r="C61" s="35"/>
      <c r="D61" s="35"/>
      <c r="E61" s="35"/>
      <c r="F61" s="35"/>
      <c r="G61" s="35"/>
      <c r="H61" s="35"/>
      <c r="I61" s="77">
        <f>D24</f>
        <v>5</v>
      </c>
      <c r="J61" s="52"/>
    </row>
    <row r="62" spans="1:10" x14ac:dyDescent="0.25">
      <c r="A62" s="35"/>
      <c r="B62" s="20" t="s">
        <v>20</v>
      </c>
      <c r="C62" s="35"/>
      <c r="D62" s="35"/>
      <c r="E62" s="35"/>
      <c r="F62" s="35"/>
      <c r="G62" s="35"/>
      <c r="H62" s="35"/>
      <c r="I62" s="77">
        <f>D25</f>
        <v>30</v>
      </c>
      <c r="J62" s="52"/>
    </row>
    <row r="63" spans="1:10" x14ac:dyDescent="0.25">
      <c r="A63" s="35"/>
      <c r="B63" s="20" t="s">
        <v>21</v>
      </c>
      <c r="C63" s="35"/>
      <c r="D63" s="35"/>
      <c r="E63" s="35"/>
      <c r="F63" s="35"/>
      <c r="G63" s="35"/>
      <c r="H63" s="35"/>
      <c r="I63" s="71">
        <f>D26</f>
        <v>18</v>
      </c>
      <c r="J63" s="52"/>
    </row>
    <row r="64" spans="1:10" ht="15.75" thickBot="1" x14ac:dyDescent="0.3">
      <c r="A64" s="35"/>
      <c r="B64" s="20" t="s">
        <v>151</v>
      </c>
      <c r="C64" s="35"/>
      <c r="I64" s="71">
        <f>+IF(I23=0,(I24/I26*I25/I27),(I23*I24/I27))</f>
        <v>1.1879999999999999</v>
      </c>
      <c r="J64" s="52"/>
    </row>
    <row r="65" spans="1:12" ht="15.75" thickBot="1" x14ac:dyDescent="0.3">
      <c r="A65" s="35"/>
      <c r="B65" s="35"/>
      <c r="C65" s="35"/>
      <c r="D65" s="20" t="s">
        <v>22</v>
      </c>
      <c r="E65" s="35"/>
      <c r="F65" s="35"/>
      <c r="G65" s="35"/>
      <c r="H65" s="35"/>
      <c r="I65" s="80">
        <f>SUM(I49:I64)</f>
        <v>1367.838925</v>
      </c>
    </row>
    <row r="66" spans="1:12" ht="15.75" thickBot="1" x14ac:dyDescent="0.3">
      <c r="A66" s="14" t="s">
        <v>23</v>
      </c>
      <c r="B66" s="35"/>
      <c r="C66" s="35"/>
      <c r="D66" s="35"/>
      <c r="E66" s="35"/>
      <c r="F66" s="35"/>
      <c r="G66" s="35"/>
      <c r="H66" s="35"/>
      <c r="I66" s="80">
        <f>I46-I65</f>
        <v>226.06107500000007</v>
      </c>
      <c r="J66" s="52"/>
    </row>
    <row r="67" spans="1:12" x14ac:dyDescent="0.25">
      <c r="A67" s="35"/>
      <c r="B67" s="35"/>
      <c r="C67" s="35"/>
      <c r="D67" s="35"/>
      <c r="E67" s="35"/>
      <c r="F67" s="35"/>
      <c r="G67" s="35"/>
      <c r="H67" s="35"/>
      <c r="I67" s="35"/>
    </row>
    <row r="68" spans="1:12" x14ac:dyDescent="0.25">
      <c r="A68" s="14" t="s">
        <v>24</v>
      </c>
      <c r="B68" s="35"/>
      <c r="C68" s="35"/>
      <c r="D68" s="35"/>
      <c r="E68" s="35"/>
      <c r="F68" s="35"/>
      <c r="G68" s="35"/>
      <c r="H68" s="35"/>
      <c r="I68" s="35"/>
    </row>
    <row r="69" spans="1:12" x14ac:dyDescent="0.25">
      <c r="A69" s="35"/>
      <c r="B69" s="20" t="s">
        <v>25</v>
      </c>
      <c r="C69" s="35"/>
      <c r="D69" s="35"/>
      <c r="E69" s="35"/>
      <c r="F69" s="35"/>
      <c r="G69" s="8">
        <f>I15/100</f>
        <v>0.06</v>
      </c>
      <c r="H69" s="35"/>
      <c r="I69" s="35"/>
    </row>
    <row r="70" spans="1:12" x14ac:dyDescent="0.25">
      <c r="A70" s="35"/>
      <c r="B70" s="20" t="s">
        <v>26</v>
      </c>
      <c r="C70" s="35"/>
      <c r="D70" s="35"/>
      <c r="E70" s="35"/>
      <c r="F70" s="35"/>
      <c r="G70" s="35"/>
      <c r="H70" s="35"/>
      <c r="I70" s="77">
        <f>((I65*I15)*(I20/12))/100</f>
        <v>47.874362375000004</v>
      </c>
      <c r="J70" s="52"/>
    </row>
    <row r="71" spans="1:12" x14ac:dyDescent="0.25">
      <c r="A71" s="35"/>
      <c r="B71" s="20" t="s">
        <v>27</v>
      </c>
      <c r="C71" s="35"/>
      <c r="D71" s="35"/>
      <c r="E71" s="35"/>
      <c r="F71" s="35"/>
      <c r="G71" s="35"/>
      <c r="H71" s="35"/>
      <c r="I71" s="77">
        <f>I16</f>
        <v>6</v>
      </c>
      <c r="J71" s="52"/>
    </row>
    <row r="72" spans="1:12" ht="15.75" thickBot="1" x14ac:dyDescent="0.3">
      <c r="A72" s="35"/>
      <c r="B72" s="2" t="s">
        <v>338</v>
      </c>
      <c r="C72" s="35"/>
      <c r="D72" s="35"/>
      <c r="E72" s="35"/>
      <c r="F72" s="35"/>
      <c r="G72" s="35"/>
      <c r="H72" s="35"/>
      <c r="I72" s="79">
        <f>(I65+I17)*0.025</f>
        <v>36.695973125000002</v>
      </c>
      <c r="J72" s="52"/>
    </row>
    <row r="73" spans="1:12" ht="15.75" thickBot="1" x14ac:dyDescent="0.3">
      <c r="D73" s="1" t="s">
        <v>336</v>
      </c>
      <c r="I73" s="214">
        <f>+SUM(I70:I72)</f>
        <v>90.570335499999999</v>
      </c>
    </row>
    <row r="74" spans="1:12" ht="15.75" thickBot="1" x14ac:dyDescent="0.3">
      <c r="A74" s="35"/>
      <c r="B74" s="35"/>
      <c r="C74" s="35"/>
      <c r="D74" s="20" t="s">
        <v>28</v>
      </c>
      <c r="E74" s="35"/>
      <c r="F74" s="35"/>
      <c r="G74" s="35"/>
      <c r="H74" s="35"/>
      <c r="I74" s="80">
        <f>I66-SUM(I69:I72)</f>
        <v>135.49073950000007</v>
      </c>
      <c r="J74" s="52"/>
    </row>
    <row r="75" spans="1:12" x14ac:dyDescent="0.25">
      <c r="A75" s="35"/>
      <c r="B75" s="35"/>
      <c r="C75" s="35"/>
      <c r="D75" s="20"/>
      <c r="E75" s="35"/>
      <c r="F75" s="35"/>
      <c r="G75" s="35"/>
      <c r="H75" s="35"/>
      <c r="I75" s="77"/>
      <c r="J75" s="52"/>
    </row>
    <row r="76" spans="1:12" x14ac:dyDescent="0.25">
      <c r="B76" s="20" t="s">
        <v>123</v>
      </c>
      <c r="C76" s="35"/>
      <c r="D76" s="35"/>
      <c r="E76" s="35"/>
      <c r="F76" s="35"/>
      <c r="G76" s="35"/>
      <c r="H76" s="77">
        <f>(I65+I45+I73)/D15</f>
        <v>103.0220900357143</v>
      </c>
      <c r="I76" s="35" t="s">
        <v>122</v>
      </c>
    </row>
    <row r="77" spans="1:12" x14ac:dyDescent="0.25">
      <c r="C77" s="269" t="s">
        <v>57</v>
      </c>
      <c r="D77" s="269"/>
      <c r="E77" s="269"/>
      <c r="F77" s="81">
        <f>G49</f>
        <v>161</v>
      </c>
      <c r="G77" s="20" t="s">
        <v>58</v>
      </c>
      <c r="J77" s="287" t="s">
        <v>141</v>
      </c>
      <c r="K77" s="287"/>
      <c r="L77" s="287"/>
    </row>
    <row r="78" spans="1:12" x14ac:dyDescent="0.25">
      <c r="A78" s="204"/>
      <c r="B78" s="204"/>
      <c r="C78" s="204"/>
      <c r="D78" s="81"/>
      <c r="E78" s="269" t="s">
        <v>121</v>
      </c>
      <c r="F78" s="269"/>
      <c r="G78" s="21">
        <f>(SUM(I50:I64)+SUM(I70:I72))/(E44-E49)</f>
        <v>47.344180071428575</v>
      </c>
      <c r="H78" s="20" t="s">
        <v>153</v>
      </c>
      <c r="I78" s="20"/>
      <c r="J78" s="287"/>
      <c r="K78" s="287"/>
      <c r="L78" s="287"/>
    </row>
    <row r="79" spans="1:12" x14ac:dyDescent="0.25">
      <c r="B79" s="20" t="s">
        <v>124</v>
      </c>
      <c r="C79" s="35"/>
      <c r="D79" s="35"/>
      <c r="E79" s="35"/>
      <c r="F79" s="35"/>
      <c r="G79" s="35"/>
      <c r="H79" s="25">
        <f>(I46-(SUM(I50:I64)+SUM(I70:I72)))/E49</f>
        <v>180.35581992857144</v>
      </c>
      <c r="I79" s="35" t="s">
        <v>122</v>
      </c>
      <c r="J79" s="287"/>
      <c r="K79" s="287"/>
      <c r="L79" s="287"/>
    </row>
    <row r="80" spans="1:12" x14ac:dyDescent="0.25">
      <c r="B80" s="269" t="s">
        <v>62</v>
      </c>
      <c r="C80" s="269"/>
      <c r="D80" s="269"/>
      <c r="E80" s="269"/>
      <c r="F80" s="81">
        <f>G44</f>
        <v>115</v>
      </c>
      <c r="G80" s="20" t="s">
        <v>58</v>
      </c>
      <c r="I80" s="35"/>
    </row>
    <row r="81" spans="1:12" x14ac:dyDescent="0.25">
      <c r="A81" s="14" t="s">
        <v>102</v>
      </c>
      <c r="B81" s="35"/>
      <c r="C81" s="35"/>
      <c r="D81" s="56">
        <f>(D15-D20)*100</f>
        <v>700</v>
      </c>
      <c r="E81" s="20" t="s">
        <v>63</v>
      </c>
      <c r="F81" s="297" t="s">
        <v>129</v>
      </c>
      <c r="G81" s="297"/>
      <c r="H81" s="297"/>
      <c r="I81" s="21">
        <f>+G3</f>
        <v>3.3333333333333335</v>
      </c>
      <c r="L81" s="20"/>
    </row>
    <row r="82" spans="1:12" x14ac:dyDescent="0.25">
      <c r="A82" s="14"/>
      <c r="B82" s="35"/>
      <c r="C82" s="35"/>
      <c r="D82" s="56"/>
      <c r="E82" s="20"/>
      <c r="F82" s="206"/>
      <c r="G82" s="206"/>
      <c r="H82" s="206"/>
      <c r="I82" s="205"/>
      <c r="L82" s="20"/>
    </row>
    <row r="83" spans="1:12" s="12" customFormat="1" ht="14.25" x14ac:dyDescent="0.2">
      <c r="A83" s="14" t="s">
        <v>65</v>
      </c>
      <c r="B83" s="107"/>
      <c r="C83" s="107"/>
      <c r="D83" s="107"/>
      <c r="E83" s="107"/>
      <c r="F83" s="107"/>
      <c r="G83" s="107"/>
      <c r="H83" s="107"/>
      <c r="I83" s="107"/>
    </row>
    <row r="84" spans="1:12" x14ac:dyDescent="0.25">
      <c r="A84" s="2" t="s">
        <v>134</v>
      </c>
      <c r="B84" s="35"/>
      <c r="C84" s="35"/>
      <c r="D84" s="82">
        <f>$I$46</f>
        <v>1593.9</v>
      </c>
      <c r="E84" s="35"/>
      <c r="F84" s="35"/>
      <c r="G84" s="35"/>
      <c r="H84" s="35"/>
      <c r="I84" s="35"/>
    </row>
    <row r="85" spans="1:12" x14ac:dyDescent="0.25">
      <c r="A85" s="20" t="s">
        <v>131</v>
      </c>
      <c r="B85" s="35"/>
      <c r="C85" s="35"/>
      <c r="D85" s="77">
        <f>$I$65</f>
        <v>1367.838925</v>
      </c>
      <c r="E85" s="35"/>
    </row>
    <row r="86" spans="1:12" x14ac:dyDescent="0.25">
      <c r="A86" s="20" t="s">
        <v>132</v>
      </c>
      <c r="B86" s="35"/>
      <c r="C86" s="35"/>
      <c r="D86" s="77">
        <f>$I$66/5</f>
        <v>45.212215000000015</v>
      </c>
      <c r="E86" s="35"/>
      <c r="K86" s="20"/>
    </row>
    <row r="87" spans="1:12" x14ac:dyDescent="0.25">
      <c r="A87" s="20" t="s">
        <v>133</v>
      </c>
      <c r="B87" s="35"/>
      <c r="C87" s="35"/>
      <c r="D87" s="8">
        <f>I66/I65</f>
        <v>0.16526878338397927</v>
      </c>
      <c r="E87" s="35"/>
      <c r="K87" s="20"/>
    </row>
    <row r="88" spans="1:12" x14ac:dyDescent="0.25">
      <c r="A88" s="35"/>
      <c r="B88" s="35"/>
      <c r="C88" s="35"/>
      <c r="D88" s="35"/>
      <c r="E88" s="35"/>
      <c r="F88" s="35"/>
      <c r="G88" s="35"/>
      <c r="H88" s="35"/>
      <c r="I88" s="35"/>
    </row>
    <row r="89" spans="1:12" x14ac:dyDescent="0.25">
      <c r="A89" s="14" t="s">
        <v>127</v>
      </c>
      <c r="B89" s="35"/>
      <c r="C89" s="35"/>
      <c r="D89" s="35"/>
      <c r="E89" s="35"/>
      <c r="F89" s="35"/>
      <c r="G89" s="35"/>
      <c r="H89" s="35"/>
      <c r="I89" s="35"/>
    </row>
    <row r="90" spans="1:12" ht="15" customHeight="1" x14ac:dyDescent="0.25">
      <c r="A90" s="293" t="s">
        <v>126</v>
      </c>
      <c r="B90" s="294"/>
      <c r="C90" s="35"/>
      <c r="D90" s="35"/>
      <c r="E90" s="20" t="s">
        <v>78</v>
      </c>
      <c r="F90" s="35"/>
      <c r="G90" s="35"/>
      <c r="H90" s="35"/>
      <c r="I90" s="35"/>
    </row>
    <row r="91" spans="1:12" x14ac:dyDescent="0.25">
      <c r="A91" s="295"/>
      <c r="B91" s="296"/>
      <c r="C91" s="78">
        <f>E91-8</f>
        <v>107</v>
      </c>
      <c r="D91" s="78">
        <f>E91-4</f>
        <v>111</v>
      </c>
      <c r="E91" s="78">
        <f>$G$44</f>
        <v>115</v>
      </c>
      <c r="F91" s="78">
        <f>E91+4</f>
        <v>119</v>
      </c>
      <c r="G91" s="78">
        <f>E91+8</f>
        <v>123</v>
      </c>
      <c r="H91" s="78">
        <f>E91+12</f>
        <v>127</v>
      </c>
      <c r="I91" s="35"/>
    </row>
    <row r="92" spans="1:12" x14ac:dyDescent="0.25">
      <c r="A92" s="62"/>
      <c r="B92" s="83">
        <f>B94-10</f>
        <v>151</v>
      </c>
      <c r="C92" s="77">
        <f>(($E$44*C91)-($E$45/100*$E$44*C91))-(($E$49*B92)+SUM($I$50:$I$64)+SUM($I$70:$I$72))</f>
        <v>94.610739499999909</v>
      </c>
      <c r="D92" s="77">
        <f>(($E$44*D91)-($E$45/100*$E$44*D91))-(($E$49*B92)+SUM($I$50:$I$64)+SUM($I$70:$I$72))</f>
        <v>150.05073949999996</v>
      </c>
      <c r="E92" s="77">
        <f>(($E$44*E91)-($E$45/100*$E$44*E91))-(($E$49*B92)+SUM($I$50:$I$64)+SUM($I$70:$I$72))</f>
        <v>205.49073950000002</v>
      </c>
      <c r="F92" s="77">
        <f>(($E$44*F91)-($E$45/100*$E$44*F91))-(($E$49*B92)+SUM($I$50:$I$64)+SUM($I$70:$I$72))</f>
        <v>260.93073949999985</v>
      </c>
      <c r="G92" s="77">
        <f>(($E$44*G91)-($E$45/100*$E$44*G91))-(($E$49*B92)+SUM($I$50:$I$64)+SUM($I$70:$I$72))</f>
        <v>316.3707394999999</v>
      </c>
      <c r="H92" s="77">
        <f>(($E$44*H91)-($E$45/100*$E$44*H91))-(($E$49*B92)+SUM($I$50:$I$64)+SUM($I$70:$I$72))</f>
        <v>371.81073949999995</v>
      </c>
      <c r="I92" s="35"/>
    </row>
    <row r="93" spans="1:12" x14ac:dyDescent="0.25">
      <c r="A93" s="62"/>
      <c r="B93" s="83">
        <f>B94-5</f>
        <v>156</v>
      </c>
      <c r="C93" s="77">
        <f>(($E$44*C91)-($E$45/100*$E$44*C91))-(($E$49*B93)+SUM($I$50:$I$64)+SUM($I$70:$I$72))</f>
        <v>59.610739499999909</v>
      </c>
      <c r="D93" s="77">
        <f>(($E$44*D91)-($E$45/100*$E$44*D91))-(($E$49*B93)+SUM($I$50:$I$64)+SUM($I$70:$I$72))</f>
        <v>115.05073949999996</v>
      </c>
      <c r="E93" s="77">
        <f>(($E$44*E91)-($E$45/100*$E$44*E91))-(($E$49*B93)+SUM($I$50:$I$64)+SUM($I$70:$I$72))</f>
        <v>170.49073950000002</v>
      </c>
      <c r="F93" s="77">
        <f>(($E$44*F91)-($E$45/100*$E$44*F91))-(($E$49*B93)+SUM($I$50:$I$64)+SUM($I$70:$I$72))</f>
        <v>225.93073949999985</v>
      </c>
      <c r="G93" s="77">
        <f>(($E$44*G91)-($E$45/100*$E$44*G91))-(($E$49*B93)+SUM($I$50:$I$64)+SUM($I$70:$I$72))</f>
        <v>281.3707394999999</v>
      </c>
      <c r="H93" s="77">
        <f>(($E$44*H91)-($E$45/100*$E$44*H91))-(($E$49*B93)+SUM($I$50:$I$64)+SUM($I$70:$I$72))</f>
        <v>336.81073949999995</v>
      </c>
      <c r="I93" s="35"/>
    </row>
    <row r="94" spans="1:12" x14ac:dyDescent="0.25">
      <c r="A94" s="62"/>
      <c r="B94" s="83">
        <f>$G$49</f>
        <v>161</v>
      </c>
      <c r="C94" s="77">
        <f>(($E$44*C91)-($E$45/100*$E$44*C91))-(($E$49*B94)+SUM($I$50:$I$64)+SUM($I$70:$I$72))</f>
        <v>24.610739499999909</v>
      </c>
      <c r="D94" s="77">
        <f>(($E$44*D91)-($E$45/100*$E$44*D91))-(($E$49*B94)+SUM($I$50:$I$64)+SUM($I$70:$I$72))</f>
        <v>80.050739499999963</v>
      </c>
      <c r="E94" s="77">
        <f>(($E$44*E91)-($E$45/100*$E$44*E91))-(($E$49*B94)+SUM($I$50:$I$64)+SUM($I$70:$I$72))</f>
        <v>135.49073950000002</v>
      </c>
      <c r="F94" s="77">
        <f>(($E$44*F91)-($E$45/100*$E$44*F91))-(($E$49*B94)+SUM($I$50:$I$64)+SUM($I$70:$I$72))</f>
        <v>190.93073949999985</v>
      </c>
      <c r="G94" s="77">
        <f>(($E$44*G91)-($E$45/100*$E$44*G91))-(($E$49*B94)+SUM($I$50:$I$64)+SUM($I$70:$I$72))</f>
        <v>246.3707394999999</v>
      </c>
      <c r="H94" s="77">
        <f>(($E$44*H91)-($E$45/100*$E$44*H91))-(($E$49*B94)+SUM($I$50:$I$64)+SUM($I$70:$I$72))</f>
        <v>301.81073949999995</v>
      </c>
      <c r="I94" s="35"/>
    </row>
    <row r="95" spans="1:12" x14ac:dyDescent="0.25">
      <c r="A95" s="62"/>
      <c r="B95" s="83">
        <f>B94+5</f>
        <v>166</v>
      </c>
      <c r="C95" s="77">
        <f>(($E$44*C91)-($E$45/100*$E$44*C91))-(($E$49*B95)+SUM($I$50:$I$64)+SUM($I$70:$I$72))</f>
        <v>-10.389260500000091</v>
      </c>
      <c r="D95" s="77">
        <f>(($E$44*D91)-($E$45/100*$E$44*D91))-(($E$49*B95)+SUM($I$50:$I$64)+SUM($I$70:$I$72))</f>
        <v>45.050739499999963</v>
      </c>
      <c r="E95" s="77">
        <f>(($E$44*E91)-($E$45/100*$E$44*E91))-(($E$49*B95)+SUM($I$50:$I$64)+SUM($I$70:$I$72))</f>
        <v>100.49073950000002</v>
      </c>
      <c r="F95" s="77">
        <f>(($E$44*F91)-($E$45/100*$E$44*F91))-(($E$49*B95)+SUM($I$50:$I$64)+SUM($I$70:$I$72))</f>
        <v>155.93073949999985</v>
      </c>
      <c r="G95" s="77">
        <f>(($E$44*G91)-($E$45/100*$E$44*G91))-(($E$49*B95)+SUM($I$50:$I$64)+SUM($I$70:$I$72))</f>
        <v>211.3707394999999</v>
      </c>
      <c r="H95" s="77">
        <f>(($E$44*H91)-($E$45/100*$E$44*H91))-(($E$49*B95)+SUM($I$50:$I$64)+SUM($I$70:$I$72))</f>
        <v>266.81073949999995</v>
      </c>
      <c r="I95" s="35"/>
    </row>
    <row r="96" spans="1:12" x14ac:dyDescent="0.25">
      <c r="A96" s="62"/>
      <c r="B96" s="83">
        <f>B94+10</f>
        <v>171</v>
      </c>
      <c r="C96" s="77">
        <f>(($E$44*C91)-($E$45/100*$E$44*C91))-(($E$49*B96)+SUM($I$50:$I$64)+SUM($I$70:$I$72))</f>
        <v>-45.389260500000091</v>
      </c>
      <c r="D96" s="77">
        <f>(($E$44*D91)-($E$45/100*$E$44*D91))-(($E$49*B96)+SUM($I$50:$I$64)+SUM($I$70:$I$72))</f>
        <v>10.050739499999963</v>
      </c>
      <c r="E96" s="77">
        <f>(($E$44*E91)-($E$45/100*$E$44*E91))-(($E$49*B96)+SUM($I$50:$I$64)+SUM($I$70:$I$72))</f>
        <v>65.490739500000018</v>
      </c>
      <c r="F96" s="77">
        <f>(($E$44*F91)-($E$45/100*$E$44*F91))-(($E$49*B96)+SUM($I$50:$I$64)+SUM($I$70:$I$72))</f>
        <v>120.93073949999985</v>
      </c>
      <c r="G96" s="77">
        <f>(($E$44*G91)-($E$45/100*$E$44*G91))-(($E$49*B96)+SUM($I$50:$I$64)+SUM($I$70:$I$72))</f>
        <v>176.3707394999999</v>
      </c>
      <c r="H96" s="77">
        <f>(($E$44*H91)-($E$45/100*$E$44*H91))-(($E$49*B96)+SUM($I$50:$I$64)+SUM($I$70:$I$72))</f>
        <v>231.81073949999995</v>
      </c>
      <c r="I96" s="35"/>
    </row>
    <row r="97" spans="1:9" x14ac:dyDescent="0.25">
      <c r="A97" s="35"/>
      <c r="B97" s="35"/>
      <c r="C97" s="35"/>
      <c r="D97" s="35"/>
      <c r="E97" s="35"/>
      <c r="F97" s="35"/>
      <c r="G97" s="35"/>
      <c r="H97" s="35"/>
      <c r="I97" s="35"/>
    </row>
    <row r="98" spans="1:9" x14ac:dyDescent="0.25">
      <c r="A98" s="17" t="s">
        <v>127</v>
      </c>
      <c r="B98" s="35"/>
      <c r="C98" s="35"/>
      <c r="D98" s="35"/>
      <c r="E98" s="35"/>
      <c r="F98" s="35"/>
      <c r="G98" s="35"/>
      <c r="H98" s="35"/>
      <c r="I98" s="35"/>
    </row>
    <row r="99" spans="1:9" x14ac:dyDescent="0.25">
      <c r="A99" s="35"/>
      <c r="B99" s="48"/>
      <c r="C99" s="274" t="s">
        <v>79</v>
      </c>
      <c r="D99" s="274"/>
      <c r="E99" s="77">
        <f>$G$49</f>
        <v>161</v>
      </c>
      <c r="F99" s="37" t="s">
        <v>72</v>
      </c>
      <c r="G99" s="35"/>
      <c r="H99" s="35"/>
      <c r="I99" s="35"/>
    </row>
    <row r="100" spans="1:9" ht="15" customHeight="1" x14ac:dyDescent="0.25">
      <c r="A100" s="302" t="s">
        <v>125</v>
      </c>
      <c r="B100" s="303"/>
      <c r="C100" s="35"/>
      <c r="D100" s="35"/>
      <c r="E100" s="35"/>
      <c r="F100" s="35"/>
      <c r="G100" s="35"/>
      <c r="H100" s="35"/>
      <c r="I100" s="35"/>
    </row>
    <row r="101" spans="1:9" x14ac:dyDescent="0.25">
      <c r="A101" s="304"/>
      <c r="B101" s="305"/>
      <c r="C101" s="78">
        <f>E101-8</f>
        <v>107</v>
      </c>
      <c r="D101" s="78">
        <f>E101-4</f>
        <v>111</v>
      </c>
      <c r="E101" s="78">
        <f>$G$44</f>
        <v>115</v>
      </c>
      <c r="F101" s="78">
        <f>E101+4</f>
        <v>119</v>
      </c>
      <c r="G101" s="78">
        <f>E101+8</f>
        <v>123</v>
      </c>
      <c r="H101" s="78">
        <f>E101+12</f>
        <v>127</v>
      </c>
      <c r="I101" s="35"/>
    </row>
    <row r="102" spans="1:9" x14ac:dyDescent="0.25">
      <c r="A102" s="35"/>
      <c r="B102" s="84">
        <f>B104-0.1</f>
        <v>0.37344180071428579</v>
      </c>
      <c r="C102" s="77">
        <f>(($E$44*C101)-($E$45/100*$E$44*C101))-($I$49+(B102*100*($E$44-$E$49)))</f>
        <v>94.610739499999909</v>
      </c>
      <c r="D102" s="77">
        <f>(($E$44*D101)-($E$45/100*$E$44*D101))-($I$49+(B102*100*($E$44-$E$49)))</f>
        <v>150.05073949999996</v>
      </c>
      <c r="E102" s="77">
        <f>(($E$44*E101)-($E$45/100*$E$44*E101))-($I$49+(B102*100*($E$44-$E$49)))</f>
        <v>205.49073950000002</v>
      </c>
      <c r="F102" s="77">
        <f>(($E$44*F101)-($E$45/100*$E$44*F101))-($I$49+(B102*100*($E$44-$E$49)))</f>
        <v>260.93073949999985</v>
      </c>
      <c r="G102" s="77">
        <f>(($E$44*G101)-($E$45/100*$E$44*G101))-($I$49+(B102*100*($E$44-$E$49)))</f>
        <v>316.3707394999999</v>
      </c>
      <c r="H102" s="77">
        <f>(($E$44*H101)-($E$45/100*$E$44*H101))-($I$49+(B102*100*($E$44-$E$49)))</f>
        <v>371.81073949999995</v>
      </c>
      <c r="I102" s="35"/>
    </row>
    <row r="103" spans="1:9" x14ac:dyDescent="0.25">
      <c r="A103" s="35"/>
      <c r="B103" s="84">
        <f>B104-0.05</f>
        <v>0.42344180071428578</v>
      </c>
      <c r="C103" s="77">
        <f>(($E$44*C101)-($E$45/100*$E$44*C101))-($I$49+(B103*100*($E$44-$E$49)))</f>
        <v>59.610739499999909</v>
      </c>
      <c r="D103" s="77">
        <f>(($E$44*D101)-($E$45/100*$E$44*D101))-($I$49+(B103*100*($E$44-$E$49)))</f>
        <v>115.05073949999996</v>
      </c>
      <c r="E103" s="77">
        <f>(($E$44*E101)-($E$45/100*$E$44*E101))-($I$49+(B103*100*($E$44-$E$49)))</f>
        <v>170.49073950000002</v>
      </c>
      <c r="F103" s="77">
        <f>(($E$44*F101)-($E$45/100*$E$44*F101))-($I$49+(B103*100*($E$44-$E$49)))</f>
        <v>225.93073949999985</v>
      </c>
      <c r="G103" s="77">
        <f>(($E$44*G101)-($E$45/100*$E$44*G101))-($I$49+(B103*100*($E$44-$E$49)))</f>
        <v>281.3707394999999</v>
      </c>
      <c r="H103" s="77">
        <f>(($E$44*H101)-($E$45/100*$E$44*H101))-($I$49+(B103*100*($E$44-$E$49)))</f>
        <v>336.81073949999995</v>
      </c>
      <c r="I103" s="35"/>
    </row>
    <row r="104" spans="1:9" x14ac:dyDescent="0.25">
      <c r="A104" s="35"/>
      <c r="B104" s="84">
        <f>$G$78/100</f>
        <v>0.47344180071428577</v>
      </c>
      <c r="C104" s="77">
        <f>(($E$44*C101)-($E$45/100*$E$44*C101))-($I$49+(B104*100*($E$44-$E$49)))</f>
        <v>24.610739499999909</v>
      </c>
      <c r="D104" s="77">
        <f>(($E$44*D101)-($E$45/100*$E$44*D101))-($I$49+(B104*100*($E$44-$E$49)))</f>
        <v>80.050739499999963</v>
      </c>
      <c r="E104" s="77">
        <f>(($E$44*E101)-($E$45/100*$E$44*E101))-($I$49+(B104*100*($E$44-$E$49)))</f>
        <v>135.49073950000002</v>
      </c>
      <c r="F104" s="77">
        <f>(($E$44*F101)-($E$45/100*$E$44*F101))-($I$49+(B104*100*($E$44-$E$49)))</f>
        <v>190.93073949999985</v>
      </c>
      <c r="G104" s="77">
        <f>(($E$44*G101)-($E$45/100*$E$44*G101))-($I$49+(B104*100*($E$44-$E$49)))</f>
        <v>246.3707394999999</v>
      </c>
      <c r="H104" s="77">
        <f>(($E$44*H101)-($E$45/100*$E$44*H101))-($I$49+(B104*100*($E$44-$E$49)))</f>
        <v>301.81073949999995</v>
      </c>
      <c r="I104" s="35"/>
    </row>
    <row r="105" spans="1:9" x14ac:dyDescent="0.25">
      <c r="A105" s="35"/>
      <c r="B105" s="84">
        <f>B104+0.05</f>
        <v>0.52344180071428581</v>
      </c>
      <c r="C105" s="77">
        <f>(($E$44*C101)-($E$45/100*$E$44*C101))-($I$49+(B105*100*($E$44-$E$49)))</f>
        <v>-10.389260500000091</v>
      </c>
      <c r="D105" s="77">
        <f>(($E$44*D101)-($E$45/100*$E$44*D101))-($I$49+(B105*100*($E$44-$E$49)))</f>
        <v>45.050739499999963</v>
      </c>
      <c r="E105" s="77">
        <f>(($E$44*E101)-($E$45/100*$E$44*E101))-($I$49+(B105*100*($E$44-$E$49)))</f>
        <v>100.49073950000002</v>
      </c>
      <c r="F105" s="77">
        <f>(($E$44*F101)-($E$45/100*$E$44*F101))-($I$49+(B105*100*($E$44-$E$49)))</f>
        <v>155.93073949999985</v>
      </c>
      <c r="G105" s="77">
        <f>(($E$44*G101)-($E$45/100*$E$44*G101))-($I$49+(B105*100*($E$44-$E$49)))</f>
        <v>211.3707394999999</v>
      </c>
      <c r="H105" s="77">
        <f>(($E$44*H101)-($E$45/100*$E$44*H101))-($I$49+(B105*100*($E$44-$E$49)))</f>
        <v>266.81073949999995</v>
      </c>
      <c r="I105" s="35"/>
    </row>
    <row r="106" spans="1:9" x14ac:dyDescent="0.25">
      <c r="A106" s="35"/>
      <c r="B106" s="84">
        <f>B104+0.1</f>
        <v>0.57344180071428574</v>
      </c>
      <c r="C106" s="77">
        <f>(($E$44*C101)-($E$45/100*$E$44*C101))-($I$49+(B106*100*($E$44-$E$49)))</f>
        <v>-45.389260500000091</v>
      </c>
      <c r="D106" s="77">
        <f>(($E$44*D101)-($E$45/100*$E$44*D101))-($I$49+(B106*100*($E$44-$E$49)))</f>
        <v>10.050739499999963</v>
      </c>
      <c r="E106" s="77">
        <f>(($E$44*E101)-($E$45/100*$E$44*E101))-($I$49+(B106*100*($E$44-$E$49)))</f>
        <v>65.490739500000018</v>
      </c>
      <c r="F106" s="77">
        <f>(($E$44*F101)-($E$45/100*$E$44*F101))-($I$49+(B106*100*($E$44-$E$49)))</f>
        <v>120.93073949999985</v>
      </c>
      <c r="G106" s="77">
        <f>(($E$44*G101)-($E$45/100*$E$44*G101))-($I$49+(B106*100*($E$44-$E$49)))</f>
        <v>176.3707394999999</v>
      </c>
      <c r="H106" s="77">
        <f>(($E$44*H101)-($E$45/100*$E$44*H101))-($I$49+(B106*100*($E$44-$E$49)))</f>
        <v>231.81073949999995</v>
      </c>
      <c r="I106" s="35"/>
    </row>
    <row r="107" spans="1:9" x14ac:dyDescent="0.25">
      <c r="A107" s="35"/>
      <c r="B107" s="35"/>
      <c r="C107" s="35"/>
      <c r="D107" s="35"/>
      <c r="E107" s="35"/>
      <c r="F107" s="35"/>
      <c r="G107" s="35"/>
      <c r="H107" s="35"/>
      <c r="I107" s="35"/>
    </row>
    <row r="108" spans="1:9" x14ac:dyDescent="0.25">
      <c r="A108" s="17" t="s">
        <v>127</v>
      </c>
      <c r="B108" s="35"/>
      <c r="C108" s="35"/>
      <c r="D108" s="35"/>
      <c r="E108" s="35"/>
      <c r="F108" s="35"/>
      <c r="G108" s="35"/>
      <c r="H108" s="35"/>
      <c r="I108" s="35"/>
    </row>
    <row r="109" spans="1:9" x14ac:dyDescent="0.25">
      <c r="A109" s="35"/>
      <c r="B109" s="48"/>
      <c r="C109" s="274" t="s">
        <v>79</v>
      </c>
      <c r="D109" s="274"/>
      <c r="E109" s="77">
        <f>$G$49+10</f>
        <v>171</v>
      </c>
      <c r="F109" s="37" t="s">
        <v>72</v>
      </c>
      <c r="G109" s="35"/>
      <c r="H109" s="35"/>
      <c r="I109" s="35"/>
    </row>
    <row r="110" spans="1:9" ht="15" customHeight="1" x14ac:dyDescent="0.25">
      <c r="A110" s="302" t="s">
        <v>125</v>
      </c>
      <c r="B110" s="303"/>
      <c r="C110" s="35"/>
      <c r="D110" s="35"/>
      <c r="E110" s="35"/>
      <c r="F110" s="35"/>
      <c r="G110" s="35"/>
      <c r="H110" s="35"/>
      <c r="I110" s="35"/>
    </row>
    <row r="111" spans="1:9" x14ac:dyDescent="0.25">
      <c r="A111" s="304"/>
      <c r="B111" s="305"/>
      <c r="C111" s="78">
        <f>E111-8</f>
        <v>107</v>
      </c>
      <c r="D111" s="78">
        <f>E111-4</f>
        <v>111</v>
      </c>
      <c r="E111" s="78">
        <f>$G$44</f>
        <v>115</v>
      </c>
      <c r="F111" s="78">
        <f>E111+4</f>
        <v>119</v>
      </c>
      <c r="G111" s="78">
        <f>F111+4</f>
        <v>123</v>
      </c>
      <c r="H111" s="78">
        <f>G111+4</f>
        <v>127</v>
      </c>
      <c r="I111" s="35"/>
    </row>
    <row r="112" spans="1:9" x14ac:dyDescent="0.25">
      <c r="A112" s="35"/>
      <c r="B112" s="84">
        <f>B114-0.1</f>
        <v>0.37344180071428579</v>
      </c>
      <c r="C112" s="77">
        <f>(($E$44*C111)-($E$45/100*$E$44*C111))-($E$49*$E$109+(B112*100*($E$44-$E$49)))</f>
        <v>24.610739499999909</v>
      </c>
      <c r="D112" s="77">
        <f>(($E$44*D111)-($E$45/100*$E$44*D111))-($E$49*$E$109+(B112*100*($E$44-$E$49)))</f>
        <v>80.050739499999963</v>
      </c>
      <c r="E112" s="77">
        <f>(($E$44*E111)-($E$45/100*$E$44*E111))-($E$49*$E$109+(B112*100*($E$44-$E$49)))</f>
        <v>135.49073950000002</v>
      </c>
      <c r="F112" s="77">
        <f>(($E$44*F111)-($E$45/100*$E$44*F111))-($E$49*$E$109+(B112*100*($E$44-$E$49)))</f>
        <v>190.93073949999985</v>
      </c>
      <c r="G112" s="77">
        <f>(($E$44*G111)-($E$45/100*$E$44*G111))-($E$49*$E$109+(B112*100*($E$44-$E$49)))</f>
        <v>246.3707394999999</v>
      </c>
      <c r="H112" s="77">
        <f>(($E$44*H111)-($E$45/100*$E$44*H111))-($E$49*$E$109+(B112*100*($E$44-$E$49)))</f>
        <v>301.81073949999995</v>
      </c>
      <c r="I112" s="35"/>
    </row>
    <row r="113" spans="1:9" x14ac:dyDescent="0.25">
      <c r="A113" s="35"/>
      <c r="B113" s="84">
        <f>B114-0.05</f>
        <v>0.42344180071428578</v>
      </c>
      <c r="C113" s="77">
        <f>(($E$44*C111)-($E$45/100*$E$44*C111))-($E$49*$E$109+(B113*100*($E$44-$E$49)))</f>
        <v>-10.389260500000091</v>
      </c>
      <c r="D113" s="77">
        <f>(($E$44*D111)-($E$45/100*$E$44*D111))-($E$49*$E$109+(B113*100*($E$44-$E$49)))</f>
        <v>45.050739499999963</v>
      </c>
      <c r="E113" s="77">
        <f>(($E$44*E111)-($E$45/100*$E$44*E111))-($E$49*$E$109+(B113*100*($E$44-$E$49)))</f>
        <v>100.49073950000002</v>
      </c>
      <c r="F113" s="77">
        <f>(($E$44*F111)-($E$45/100*$E$44*F111))-($E$49*$E$109+(B113*100*($E$44-$E$49)))</f>
        <v>155.93073949999985</v>
      </c>
      <c r="G113" s="77">
        <f>(($E$44*G111)-($E$45/100*$E$44*G111))-($E$49*$E$109+(B113*100*($E$44-$E$49)))</f>
        <v>211.3707394999999</v>
      </c>
      <c r="H113" s="77">
        <f>(($E$44*H111)-($E$45/100*$E$44*H111))-($E$49*$E$109+(B113*100*($E$44-$E$49)))</f>
        <v>266.81073949999995</v>
      </c>
      <c r="I113" s="35"/>
    </row>
    <row r="114" spans="1:9" x14ac:dyDescent="0.25">
      <c r="A114" s="35"/>
      <c r="B114" s="84">
        <f>$G$78/100</f>
        <v>0.47344180071428577</v>
      </c>
      <c r="C114" s="77">
        <f>(($E$44*C111)-($E$45/100*$E$44*C111))-($E$49*$E$109+(B114*100*($E$44-$E$49)))</f>
        <v>-45.389260500000091</v>
      </c>
      <c r="D114" s="77">
        <f>(($E$44*D111)-($E$45/100*$E$44*D111))-($E$49*$E$109+(B114*100*($E$44-$E$49)))</f>
        <v>10.050739499999963</v>
      </c>
      <c r="E114" s="77">
        <f>(($E$44*E111)-($E$45/100*$E$44*E111))-($E$49*$E$109+(B114*100*($E$44-$E$49)))</f>
        <v>65.490739500000018</v>
      </c>
      <c r="F114" s="77">
        <f>(($E$44*F111)-($E$45/100*$E$44*F111))-($E$49*$E$109+(B114*100*($E$44-$E$49)))</f>
        <v>120.93073949999985</v>
      </c>
      <c r="G114" s="77">
        <f>(($E$44*G111)-($E$45/100*$E$44*G111))-($E$49*$E$109+(B114*100*($E$44-$E$49)))</f>
        <v>176.3707394999999</v>
      </c>
      <c r="H114" s="77">
        <f>(($E$44*H111)-($E$45/100*$E$44*H111))-($E$49*$E$109+(B114*100*($E$44-$E$49)))</f>
        <v>231.81073949999995</v>
      </c>
      <c r="I114" s="35"/>
    </row>
    <row r="115" spans="1:9" x14ac:dyDescent="0.25">
      <c r="A115" s="35"/>
      <c r="B115" s="84">
        <f>B114+0.05</f>
        <v>0.52344180071428581</v>
      </c>
      <c r="C115" s="77">
        <f>(($E$44*C111)-($E$45/100*$E$44*C111))-($E$49*$E$109+(B115*100*($E$44-$E$49)))</f>
        <v>-80.389260500000091</v>
      </c>
      <c r="D115" s="77">
        <f>(($E$44*D111)-($E$45/100*$E$44*D111))-($E$49*$E$109+(B115*100*($E$44-$E$49)))</f>
        <v>-24.949260500000037</v>
      </c>
      <c r="E115" s="77">
        <f>(($E$44*E111)-($E$45/100*$E$44*E111))-($E$49*$E$109+(B115*100*($E$44-$E$49)))</f>
        <v>30.490739500000018</v>
      </c>
      <c r="F115" s="77">
        <f>(($E$44*F111)-($E$45/100*$E$44*F111))-($E$49*$E$109+(B115*100*($E$44-$E$49)))</f>
        <v>85.930739499999845</v>
      </c>
      <c r="G115" s="77">
        <f>(($E$44*G111)-($E$45/100*$E$44*G111))-($E$49*$E$109+(B115*100*($E$44-$E$49)))</f>
        <v>141.3707394999999</v>
      </c>
      <c r="H115" s="77">
        <f>(($E$44*H111)-($E$45/100*$E$44*H111))-($E$49*$E$109+(B115*100*($E$44-$E$49)))</f>
        <v>196.81073949999995</v>
      </c>
      <c r="I115" s="35"/>
    </row>
    <row r="116" spans="1:9" x14ac:dyDescent="0.25">
      <c r="A116" s="35"/>
      <c r="B116" s="84">
        <f>B114+0.1</f>
        <v>0.57344180071428574</v>
      </c>
      <c r="C116" s="77">
        <f>(($E$44*C111)-($E$45/100*$E$44*C111))-($E$49*$E$109+(B116*100*($E$44-$E$49)))</f>
        <v>-115.38926050000009</v>
      </c>
      <c r="D116" s="77">
        <f>(($E$44*D111)-($E$45/100*$E$44*D111))-($E$49*$E$109+(B116*100*($E$44-$E$49)))</f>
        <v>-59.949260500000037</v>
      </c>
      <c r="E116" s="77">
        <f>(($E$44*E111)-($E$45/100*$E$44*E111))-($E$49*$E$109+(B116*100*($E$44-$E$49)))</f>
        <v>-4.5092604999999821</v>
      </c>
      <c r="F116" s="77">
        <f>(($E$44*F111)-($E$45/100*$E$44*F111))-($E$49*$E$109+(B116*100*($E$44-$E$49)))</f>
        <v>50.930739499999845</v>
      </c>
      <c r="G116" s="77">
        <f>(($E$44*G111)-($E$45/100*$E$44*G111))-($E$49*$E$109+(B116*100*($E$44-$E$49)))</f>
        <v>106.3707394999999</v>
      </c>
      <c r="H116" s="77">
        <f>(($E$44*H111)-($E$45/100*$E$44*H111))-($E$49*$E$109+(B116*100*($E$44-$E$49)))</f>
        <v>161.81073949999995</v>
      </c>
      <c r="I116" s="35"/>
    </row>
    <row r="117" spans="1:9" x14ac:dyDescent="0.25">
      <c r="A117" s="35"/>
      <c r="B117" s="35"/>
      <c r="C117" s="35"/>
      <c r="D117" s="35"/>
      <c r="E117" s="35"/>
      <c r="F117" s="35"/>
      <c r="G117" s="35"/>
      <c r="H117" s="35"/>
      <c r="I117" s="35"/>
    </row>
    <row r="118" spans="1:9" x14ac:dyDescent="0.25">
      <c r="A118" s="35"/>
      <c r="B118" s="35"/>
      <c r="C118" s="35"/>
      <c r="D118" s="20"/>
      <c r="E118" s="35"/>
      <c r="F118" s="35"/>
      <c r="G118" s="25"/>
      <c r="H118" s="35"/>
      <c r="I118" s="35"/>
    </row>
    <row r="119" spans="1:9" x14ac:dyDescent="0.25">
      <c r="A119" s="298"/>
      <c r="B119" s="299"/>
      <c r="C119" s="299"/>
      <c r="D119" s="299"/>
      <c r="E119" s="299"/>
      <c r="F119" s="299"/>
      <c r="G119" s="299"/>
      <c r="H119" s="299"/>
      <c r="I119" s="299"/>
    </row>
    <row r="120" spans="1:9" x14ac:dyDescent="0.25">
      <c r="A120" s="299"/>
      <c r="B120" s="299"/>
      <c r="C120" s="299"/>
      <c r="D120" s="299"/>
      <c r="E120" s="299"/>
      <c r="F120" s="299"/>
      <c r="G120" s="299"/>
      <c r="H120" s="299"/>
      <c r="I120" s="299"/>
    </row>
    <row r="121" spans="1:9" x14ac:dyDescent="0.25">
      <c r="A121" s="266"/>
      <c r="B121" s="266"/>
      <c r="C121" s="266"/>
      <c r="D121" s="266"/>
      <c r="E121" s="266"/>
      <c r="F121" s="266"/>
      <c r="G121" s="266"/>
      <c r="H121" s="266"/>
      <c r="I121" s="266"/>
    </row>
    <row r="122" spans="1:9" x14ac:dyDescent="0.25">
      <c r="A122" s="300"/>
      <c r="B122" s="301"/>
      <c r="C122" s="301"/>
      <c r="D122" s="301"/>
      <c r="E122" s="301"/>
      <c r="F122" s="301"/>
      <c r="G122" s="301"/>
      <c r="H122" s="301"/>
      <c r="I122" s="301"/>
    </row>
    <row r="123" spans="1:9" x14ac:dyDescent="0.25">
      <c r="A123" s="35"/>
      <c r="B123" s="35"/>
      <c r="C123" s="35"/>
      <c r="D123" s="35"/>
      <c r="E123" s="35"/>
      <c r="F123" s="35"/>
      <c r="G123" s="25"/>
      <c r="H123" s="35"/>
      <c r="I123" s="35"/>
    </row>
    <row r="124" spans="1:9" x14ac:dyDescent="0.25">
      <c r="A124" s="290"/>
      <c r="B124" s="290"/>
      <c r="C124" s="290"/>
      <c r="D124" s="290"/>
      <c r="E124" s="290"/>
      <c r="F124" s="290"/>
      <c r="G124" s="290"/>
      <c r="H124" s="290"/>
      <c r="I124" s="290"/>
    </row>
    <row r="125" spans="1:9" x14ac:dyDescent="0.25">
      <c r="A125" s="290"/>
      <c r="B125" s="290"/>
      <c r="C125" s="290"/>
      <c r="D125" s="290"/>
      <c r="E125" s="290"/>
      <c r="F125" s="290"/>
      <c r="G125" s="290"/>
      <c r="H125" s="290"/>
      <c r="I125" s="290"/>
    </row>
    <row r="126" spans="1:9" x14ac:dyDescent="0.25">
      <c r="A126" s="20"/>
    </row>
    <row r="137" spans="1:1" x14ac:dyDescent="0.25">
      <c r="A137" s="20"/>
    </row>
    <row r="138" spans="1:1" x14ac:dyDescent="0.25">
      <c r="A138" s="20"/>
    </row>
    <row r="140" spans="1:1" x14ac:dyDescent="0.25">
      <c r="A140" s="20"/>
    </row>
    <row r="141" spans="1:1" x14ac:dyDescent="0.25">
      <c r="A141" s="20"/>
    </row>
    <row r="143" spans="1:1" x14ac:dyDescent="0.25">
      <c r="A143" s="20"/>
    </row>
    <row r="144" spans="1:1" x14ac:dyDescent="0.25">
      <c r="A144" s="20"/>
    </row>
    <row r="146" spans="1:1" x14ac:dyDescent="0.25">
      <c r="A146" s="20"/>
    </row>
    <row r="147" spans="1:1" x14ac:dyDescent="0.25">
      <c r="A147" s="20"/>
    </row>
    <row r="149" spans="1:1" x14ac:dyDescent="0.25">
      <c r="A149" s="20"/>
    </row>
    <row r="150" spans="1:1" x14ac:dyDescent="0.25">
      <c r="A150" s="20"/>
    </row>
    <row r="152" spans="1:1" x14ac:dyDescent="0.25">
      <c r="A152" s="20"/>
    </row>
    <row r="153" spans="1:1" x14ac:dyDescent="0.25">
      <c r="A153" s="20"/>
    </row>
    <row r="154" spans="1:1" x14ac:dyDescent="0.25">
      <c r="A154" s="20"/>
    </row>
  </sheetData>
  <sheetProtection sheet="1" objects="1" scenarios="1"/>
  <mergeCells count="24">
    <mergeCell ref="A124:I125"/>
    <mergeCell ref="A5:I9"/>
    <mergeCell ref="H2:I2"/>
    <mergeCell ref="A90:B91"/>
    <mergeCell ref="C109:D109"/>
    <mergeCell ref="E78:F78"/>
    <mergeCell ref="F81:H81"/>
    <mergeCell ref="A10:I10"/>
    <mergeCell ref="A119:I120"/>
    <mergeCell ref="A121:I121"/>
    <mergeCell ref="A122:I122"/>
    <mergeCell ref="H29:H30"/>
    <mergeCell ref="A100:B101"/>
    <mergeCell ref="A110:B111"/>
    <mergeCell ref="J14:M16"/>
    <mergeCell ref="J23:M26"/>
    <mergeCell ref="C99:D99"/>
    <mergeCell ref="A1:I1"/>
    <mergeCell ref="J77:L79"/>
    <mergeCell ref="J31:M34"/>
    <mergeCell ref="F28:F30"/>
    <mergeCell ref="G28:G30"/>
    <mergeCell ref="C77:E77"/>
    <mergeCell ref="B80:E80"/>
  </mergeCells>
  <phoneticPr fontId="3" type="noConversion"/>
  <conditionalFormatting sqref="H24">
    <cfRule type="iconSet" priority="5">
      <iconSet>
        <cfvo type="percent" val="0"/>
        <cfvo type="percent" val="33"/>
        <cfvo type="percent" val="67"/>
      </iconSet>
    </cfRule>
  </conditionalFormatting>
  <conditionalFormatting sqref="C92:H96 C102:H106">
    <cfRule type="colorScale" priority="4">
      <colorScale>
        <cfvo type="num" val="-10"/>
        <cfvo type="num" val="20"/>
        <cfvo type="num" val="50"/>
        <color rgb="FFF8696B"/>
        <color rgb="FFFFEB84"/>
        <color rgb="FF63BE7B"/>
      </colorScale>
    </cfRule>
  </conditionalFormatting>
  <conditionalFormatting sqref="C112:H116">
    <cfRule type="colorScale" priority="1">
      <colorScale>
        <cfvo type="num" val="-10"/>
        <cfvo type="num" val="20"/>
        <cfvo type="num" val="50"/>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5" right="0.75" top="1" bottom="1" header="0.5" footer="0.5"/>
  <pageSetup orientation="portrait" horizontalDpi="300" verticalDpi="300" r:id="rId1"/>
  <headerFooter alignWithMargins="0"/>
  <rowBreaks count="1" manualBreakCount="1">
    <brk id="8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53"/>
  <sheetViews>
    <sheetView workbookViewId="0">
      <selection sqref="A1:I1"/>
    </sheetView>
  </sheetViews>
  <sheetFormatPr defaultColWidth="17.25" defaultRowHeight="15" x14ac:dyDescent="0.25"/>
  <cols>
    <col min="1" max="1" width="4.75" style="9" customWidth="1"/>
    <col min="2" max="2" width="8.5" style="9" customWidth="1"/>
    <col min="3" max="3" width="5.875" style="9" customWidth="1"/>
    <col min="4" max="4" width="9.75" style="9" customWidth="1"/>
    <col min="5" max="5" width="9.5" style="9" customWidth="1"/>
    <col min="6" max="6" width="8.75" style="9" customWidth="1"/>
    <col min="7" max="7" width="8.625" style="9" customWidth="1"/>
    <col min="8" max="8" width="9.75" style="9" customWidth="1"/>
    <col min="9" max="9" width="13.875" style="9" bestFit="1" customWidth="1"/>
    <col min="10" max="11" width="10.75" style="9" customWidth="1"/>
    <col min="12" max="12" width="10.875" style="9" customWidth="1"/>
    <col min="13" max="16" width="10.75" style="9" customWidth="1"/>
    <col min="17" max="16384" width="17.25" style="9"/>
  </cols>
  <sheetData>
    <row r="1" spans="1:16" ht="23.25" x14ac:dyDescent="0.35">
      <c r="A1" s="251" t="s">
        <v>217</v>
      </c>
      <c r="B1" s="268"/>
      <c r="C1" s="268"/>
      <c r="D1" s="268"/>
      <c r="E1" s="268"/>
      <c r="F1" s="268"/>
      <c r="G1" s="268"/>
      <c r="H1" s="268"/>
      <c r="I1" s="268"/>
    </row>
    <row r="2" spans="1:16" x14ac:dyDescent="0.25">
      <c r="A2" s="277"/>
      <c r="B2" s="277"/>
      <c r="C2" s="277"/>
      <c r="D2" s="277"/>
      <c r="E2" s="277"/>
      <c r="F2" s="277"/>
      <c r="G2" s="277"/>
      <c r="H2" s="277"/>
      <c r="I2" s="232">
        <f>+'Step 1 - Feed Cost Input Sheet '!F20</f>
        <v>42417</v>
      </c>
    </row>
    <row r="3" spans="1:16" x14ac:dyDescent="0.25">
      <c r="B3" s="141" t="s">
        <v>41</v>
      </c>
      <c r="C3" s="24">
        <f>(D21-D26)*100</f>
        <v>350</v>
      </c>
      <c r="D3" s="2" t="s">
        <v>128</v>
      </c>
      <c r="E3" s="22">
        <f>I26</f>
        <v>4</v>
      </c>
      <c r="F3" s="2" t="s">
        <v>237</v>
      </c>
      <c r="G3" s="9">
        <f>C3/(I26*365/12)</f>
        <v>2.8767123287671232</v>
      </c>
      <c r="H3" s="1" t="s">
        <v>238</v>
      </c>
    </row>
    <row r="5" spans="1:16" ht="15" customHeight="1" x14ac:dyDescent="0.25">
      <c r="A5" s="247" t="s">
        <v>111</v>
      </c>
      <c r="B5" s="247"/>
      <c r="C5" s="247"/>
      <c r="D5" s="247"/>
      <c r="E5" s="247"/>
      <c r="F5" s="247"/>
      <c r="G5" s="247"/>
      <c r="H5" s="247"/>
      <c r="I5" s="247"/>
    </row>
    <row r="6" spans="1:16" x14ac:dyDescent="0.25">
      <c r="A6" s="247"/>
      <c r="B6" s="247"/>
      <c r="C6" s="247"/>
      <c r="D6" s="247"/>
      <c r="E6" s="247"/>
      <c r="F6" s="247"/>
      <c r="G6" s="247"/>
      <c r="H6" s="247"/>
      <c r="I6" s="247"/>
    </row>
    <row r="7" spans="1:16" ht="12" customHeight="1" x14ac:dyDescent="0.25">
      <c r="A7" s="247"/>
      <c r="B7" s="247"/>
      <c r="C7" s="247"/>
      <c r="D7" s="247"/>
      <c r="E7" s="247"/>
      <c r="F7" s="247"/>
      <c r="G7" s="247"/>
      <c r="H7" s="247"/>
      <c r="I7" s="247"/>
    </row>
    <row r="8" spans="1:16" ht="15" customHeight="1" x14ac:dyDescent="0.25">
      <c r="A8" s="247"/>
      <c r="B8" s="247"/>
      <c r="C8" s="247"/>
      <c r="D8" s="247"/>
      <c r="E8" s="247"/>
      <c r="F8" s="247"/>
      <c r="G8" s="247"/>
      <c r="H8" s="247"/>
      <c r="I8" s="247"/>
    </row>
    <row r="9" spans="1:16" ht="16.5" customHeight="1" x14ac:dyDescent="0.25">
      <c r="A9" s="247"/>
      <c r="B9" s="247"/>
      <c r="C9" s="247"/>
      <c r="D9" s="247"/>
      <c r="E9" s="247"/>
      <c r="F9" s="247"/>
      <c r="G9" s="247"/>
      <c r="H9" s="247"/>
      <c r="I9" s="247"/>
    </row>
    <row r="10" spans="1:16" x14ac:dyDescent="0.25">
      <c r="A10" s="278" t="s">
        <v>0</v>
      </c>
      <c r="B10" s="278"/>
      <c r="C10" s="278"/>
      <c r="D10" s="278"/>
      <c r="E10" s="278"/>
      <c r="F10" s="278"/>
      <c r="G10" s="278"/>
      <c r="H10" s="278"/>
      <c r="I10" s="278"/>
    </row>
    <row r="11" spans="1:16" x14ac:dyDescent="0.25">
      <c r="A11" s="279" t="s">
        <v>1</v>
      </c>
      <c r="B11" s="279"/>
      <c r="C11" s="279"/>
      <c r="D11" s="279"/>
      <c r="E11" s="279"/>
      <c r="F11" s="279"/>
      <c r="G11" s="279"/>
      <c r="H11" s="279"/>
      <c r="I11" s="279"/>
      <c r="J11" s="20"/>
      <c r="P11" s="25"/>
    </row>
    <row r="12" spans="1:16" ht="7.5" customHeight="1" x14ac:dyDescent="0.25">
      <c r="J12" s="20"/>
    </row>
    <row r="13" spans="1:16" x14ac:dyDescent="0.25">
      <c r="A13" s="9" t="s">
        <v>2</v>
      </c>
      <c r="J13" s="20"/>
    </row>
    <row r="14" spans="1:16" x14ac:dyDescent="0.25">
      <c r="A14" s="26" t="s">
        <v>120</v>
      </c>
      <c r="C14" s="161" t="s">
        <v>210</v>
      </c>
      <c r="H14" s="1" t="s">
        <v>211</v>
      </c>
      <c r="J14" s="20"/>
    </row>
    <row r="15" spans="1:16" x14ac:dyDescent="0.25">
      <c r="A15" s="27"/>
      <c r="D15" s="27"/>
      <c r="G15" s="27"/>
      <c r="J15" s="20"/>
    </row>
    <row r="16" spans="1:16" x14ac:dyDescent="0.25">
      <c r="A16" s="20"/>
      <c r="D16" s="27"/>
      <c r="J16" s="20"/>
    </row>
    <row r="17" spans="1:11" x14ac:dyDescent="0.25">
      <c r="A17" s="26"/>
      <c r="C17" s="27"/>
    </row>
    <row r="18" spans="1:11" ht="15.75" thickBot="1" x14ac:dyDescent="0.3">
      <c r="D18" s="20" t="s">
        <v>42</v>
      </c>
    </row>
    <row r="19" spans="1:11" s="30" customFormat="1" thickBot="1" x14ac:dyDescent="0.25">
      <c r="A19" s="28" t="s">
        <v>3</v>
      </c>
      <c r="B19" s="29"/>
      <c r="C19" s="29"/>
      <c r="D19" s="28" t="s">
        <v>4</v>
      </c>
      <c r="E19" s="29"/>
      <c r="F19" s="28" t="s">
        <v>3</v>
      </c>
      <c r="G19" s="29"/>
      <c r="H19" s="29"/>
      <c r="I19" s="28" t="s">
        <v>5</v>
      </c>
    </row>
    <row r="20" spans="1:11" x14ac:dyDescent="0.25">
      <c r="A20" s="14" t="s">
        <v>6</v>
      </c>
      <c r="E20" s="31" t="s">
        <v>7</v>
      </c>
      <c r="F20" s="14" t="s">
        <v>12</v>
      </c>
    </row>
    <row r="21" spans="1:11" x14ac:dyDescent="0.25">
      <c r="A21" s="20" t="s">
        <v>90</v>
      </c>
      <c r="D21" s="10">
        <v>11</v>
      </c>
      <c r="E21" s="31" t="s">
        <v>7</v>
      </c>
      <c r="F21" s="20" t="s">
        <v>98</v>
      </c>
      <c r="I21" s="10">
        <v>6</v>
      </c>
      <c r="J21" s="20" t="s">
        <v>8</v>
      </c>
    </row>
    <row r="22" spans="1:11" x14ac:dyDescent="0.25">
      <c r="A22" s="20" t="s">
        <v>91</v>
      </c>
      <c r="D22" s="11">
        <v>155</v>
      </c>
      <c r="E22" s="31" t="s">
        <v>7</v>
      </c>
      <c r="F22" s="20" t="s">
        <v>99</v>
      </c>
      <c r="I22" s="11">
        <v>6</v>
      </c>
      <c r="J22" s="20" t="s">
        <v>9</v>
      </c>
    </row>
    <row r="23" spans="1:11" x14ac:dyDescent="0.25">
      <c r="A23" s="20" t="s">
        <v>92</v>
      </c>
      <c r="D23" s="10">
        <v>1</v>
      </c>
      <c r="E23" s="31" t="s">
        <v>7</v>
      </c>
      <c r="F23" s="20" t="s">
        <v>100</v>
      </c>
      <c r="I23" s="11">
        <v>100</v>
      </c>
      <c r="J23" s="20" t="s">
        <v>10</v>
      </c>
    </row>
    <row r="24" spans="1:11" x14ac:dyDescent="0.25">
      <c r="D24" s="65"/>
      <c r="E24" s="31" t="s">
        <v>7</v>
      </c>
      <c r="I24" s="65"/>
      <c r="J24" s="20" t="s">
        <v>11</v>
      </c>
    </row>
    <row r="25" spans="1:11" x14ac:dyDescent="0.25">
      <c r="A25" s="14" t="s">
        <v>43</v>
      </c>
      <c r="D25" s="65"/>
      <c r="E25" s="31" t="s">
        <v>7</v>
      </c>
      <c r="F25" s="14" t="s">
        <v>46</v>
      </c>
      <c r="I25" s="65"/>
    </row>
    <row r="26" spans="1:11" x14ac:dyDescent="0.25">
      <c r="A26" s="20" t="s">
        <v>93</v>
      </c>
      <c r="D26" s="10">
        <v>7.5</v>
      </c>
      <c r="E26" s="31" t="s">
        <v>7</v>
      </c>
      <c r="F26" s="2" t="s">
        <v>311</v>
      </c>
      <c r="I26" s="13">
        <v>4</v>
      </c>
      <c r="J26" s="1">
        <f>+I26*30</f>
        <v>120</v>
      </c>
      <c r="K26" s="1" t="s">
        <v>142</v>
      </c>
    </row>
    <row r="27" spans="1:11" x14ac:dyDescent="0.25">
      <c r="A27" s="20" t="s">
        <v>94</v>
      </c>
      <c r="D27" s="11">
        <v>164</v>
      </c>
      <c r="E27" s="31" t="s">
        <v>7</v>
      </c>
      <c r="F27" s="1" t="s">
        <v>312</v>
      </c>
      <c r="I27" s="182">
        <v>4</v>
      </c>
    </row>
    <row r="28" spans="1:11" x14ac:dyDescent="0.25">
      <c r="D28" s="65"/>
      <c r="E28" s="31" t="s">
        <v>7</v>
      </c>
    </row>
    <row r="29" spans="1:11" x14ac:dyDescent="0.25">
      <c r="A29" s="14" t="s">
        <v>44</v>
      </c>
      <c r="D29" s="65"/>
      <c r="E29" s="31" t="s">
        <v>7</v>
      </c>
    </row>
    <row r="30" spans="1:11" x14ac:dyDescent="0.25">
      <c r="A30" s="20" t="s">
        <v>95</v>
      </c>
      <c r="D30" s="11">
        <v>20</v>
      </c>
      <c r="E30" s="31" t="s">
        <v>7</v>
      </c>
    </row>
    <row r="31" spans="1:11" x14ac:dyDescent="0.25">
      <c r="A31" s="20" t="s">
        <v>96</v>
      </c>
      <c r="D31" s="11">
        <v>5</v>
      </c>
      <c r="E31" s="31" t="s">
        <v>7</v>
      </c>
    </row>
    <row r="32" spans="1:11" x14ac:dyDescent="0.25">
      <c r="A32" s="20" t="s">
        <v>97</v>
      </c>
      <c r="D32" s="11">
        <f>15.75</f>
        <v>15.75</v>
      </c>
      <c r="E32" s="31" t="s">
        <v>7</v>
      </c>
      <c r="J32" s="32" t="s">
        <v>38</v>
      </c>
    </row>
    <row r="33" spans="1:13" x14ac:dyDescent="0.25">
      <c r="A33" s="9" t="s">
        <v>45</v>
      </c>
      <c r="D33" s="11">
        <v>0</v>
      </c>
      <c r="E33" s="31" t="s">
        <v>7</v>
      </c>
      <c r="J33" s="9" t="s">
        <v>39</v>
      </c>
    </row>
    <row r="34" spans="1:13" ht="15" customHeight="1" x14ac:dyDescent="0.25">
      <c r="A34" s="9" t="s">
        <v>80</v>
      </c>
      <c r="D34" s="11">
        <v>0</v>
      </c>
      <c r="G34" s="289" t="s">
        <v>138</v>
      </c>
    </row>
    <row r="35" spans="1:13" ht="15" customHeight="1" x14ac:dyDescent="0.25">
      <c r="A35" s="12" t="s">
        <v>82</v>
      </c>
      <c r="D35" s="31"/>
      <c r="E35" s="20"/>
      <c r="F35" s="291" t="s">
        <v>155</v>
      </c>
      <c r="G35" s="257"/>
      <c r="H35" s="34" t="s">
        <v>101</v>
      </c>
    </row>
    <row r="36" spans="1:13" x14ac:dyDescent="0.25">
      <c r="C36" s="15" t="s">
        <v>83</v>
      </c>
      <c r="D36" s="15"/>
      <c r="E36" s="15"/>
      <c r="F36" s="283"/>
      <c r="G36" s="248"/>
      <c r="H36" s="57" t="s">
        <v>116</v>
      </c>
      <c r="I36" s="15" t="s">
        <v>89</v>
      </c>
    </row>
    <row r="37" spans="1:13" x14ac:dyDescent="0.25">
      <c r="C37" s="107" t="str">
        <f>+'Step 1 - Feed Cost Input Sheet '!A21</f>
        <v>Limestone</v>
      </c>
      <c r="D37" s="60"/>
      <c r="E37" s="60"/>
      <c r="F37" s="70">
        <v>1.33</v>
      </c>
      <c r="G37" s="189">
        <f>+(F37/100)*$J$26</f>
        <v>1.5960000000000001</v>
      </c>
      <c r="H37" s="181">
        <f>+'Step 1 - Feed Cost Input Sheet '!B21</f>
        <v>10</v>
      </c>
      <c r="I37" s="60" t="s">
        <v>84</v>
      </c>
      <c r="J37" s="276" t="s">
        <v>109</v>
      </c>
      <c r="K37" s="276"/>
      <c r="L37" s="276"/>
      <c r="M37" s="276"/>
    </row>
    <row r="38" spans="1:13" x14ac:dyDescent="0.25">
      <c r="C38" s="107" t="str">
        <f>+'Step 1 - Feed Cost Input Sheet '!A22</f>
        <v>Mineral &amp; Salt</v>
      </c>
      <c r="D38" s="60"/>
      <c r="E38" s="60"/>
      <c r="F38" s="70">
        <v>0</v>
      </c>
      <c r="G38" s="189">
        <f>+(F38/100)*$J$26</f>
        <v>0</v>
      </c>
      <c r="H38" s="181">
        <f>+'Step 1 - Feed Cost Input Sheet '!B22</f>
        <v>22</v>
      </c>
      <c r="I38" s="60" t="s">
        <v>84</v>
      </c>
      <c r="J38" s="276"/>
      <c r="K38" s="276"/>
      <c r="L38" s="276"/>
      <c r="M38" s="276"/>
    </row>
    <row r="39" spans="1:13" x14ac:dyDescent="0.25">
      <c r="C39" s="107" t="str">
        <f>+'Step 1 - Feed Cost Input Sheet '!A23</f>
        <v>Dry Corn</v>
      </c>
      <c r="D39" s="60"/>
      <c r="E39" s="60"/>
      <c r="F39" s="70">
        <v>6.77</v>
      </c>
      <c r="G39" s="189">
        <f>+(F39/56)*$J$26</f>
        <v>14.507142857142856</v>
      </c>
      <c r="H39" s="181">
        <f>+'Step 1 - Feed Cost Input Sheet '!B23</f>
        <v>3.27</v>
      </c>
      <c r="I39" s="60" t="s">
        <v>85</v>
      </c>
      <c r="J39" s="276"/>
      <c r="K39" s="276"/>
      <c r="L39" s="276"/>
      <c r="M39" s="276"/>
    </row>
    <row r="40" spans="1:13" x14ac:dyDescent="0.25">
      <c r="C40" s="107" t="str">
        <f>+'Step 1 - Feed Cost Input Sheet '!A24</f>
        <v>High Moisture Corn</v>
      </c>
      <c r="D40" s="60"/>
      <c r="E40" s="60"/>
      <c r="F40" s="70">
        <v>3.48</v>
      </c>
      <c r="G40" s="189">
        <f>+(F40/56)*$J$26</f>
        <v>7.4571428571428573</v>
      </c>
      <c r="H40" s="181">
        <f>+'Step 1 - Feed Cost Input Sheet '!B24</f>
        <v>2.27</v>
      </c>
      <c r="I40" s="60" t="s">
        <v>85</v>
      </c>
      <c r="J40" s="276"/>
      <c r="K40" s="276"/>
      <c r="L40" s="276"/>
      <c r="M40" s="276"/>
    </row>
    <row r="41" spans="1:13" x14ac:dyDescent="0.25">
      <c r="C41" s="107" t="str">
        <f>+'Step 1 - Feed Cost Input Sheet '!A25</f>
        <v>Hay</v>
      </c>
      <c r="D41" s="60"/>
      <c r="E41" s="60"/>
      <c r="F41" s="70">
        <v>0.56999999999999995</v>
      </c>
      <c r="G41" s="189">
        <f>+(F41/2000)*$J$26</f>
        <v>3.4200000000000001E-2</v>
      </c>
      <c r="H41" s="181">
        <f>+'Step 1 - Feed Cost Input Sheet '!B25</f>
        <v>90</v>
      </c>
      <c r="I41" s="60" t="s">
        <v>86</v>
      </c>
    </row>
    <row r="42" spans="1:13" x14ac:dyDescent="0.25">
      <c r="C42" s="107" t="str">
        <f>+'Step 1 - Feed Cost Input Sheet '!A26</f>
        <v>Alfalfa</v>
      </c>
      <c r="D42" s="60"/>
      <c r="E42" s="60"/>
      <c r="F42" s="70">
        <v>0</v>
      </c>
      <c r="G42" s="189">
        <f>+(F42/2000)*$J$26</f>
        <v>0</v>
      </c>
      <c r="H42" s="181">
        <f>+'Step 1 - Feed Cost Input Sheet '!B26</f>
        <v>100</v>
      </c>
      <c r="I42" s="60" t="s">
        <v>86</v>
      </c>
    </row>
    <row r="43" spans="1:13" x14ac:dyDescent="0.25">
      <c r="C43" s="107" t="str">
        <f>+'Step 1 - Feed Cost Input Sheet '!A27</f>
        <v>Silage</v>
      </c>
      <c r="D43" s="60"/>
      <c r="E43" s="60"/>
      <c r="F43" s="70">
        <v>1.83</v>
      </c>
      <c r="G43" s="189">
        <f t="shared" ref="G43:G45" si="0">+(F43/2000)*$J$26</f>
        <v>0.10980000000000001</v>
      </c>
      <c r="H43" s="181">
        <f>+'Step 1 - Feed Cost Input Sheet '!B27</f>
        <v>32</v>
      </c>
      <c r="I43" s="60" t="s">
        <v>86</v>
      </c>
    </row>
    <row r="44" spans="1:13" x14ac:dyDescent="0.25">
      <c r="C44" s="107" t="str">
        <f>+'Step 1 - Feed Cost Input Sheet '!A28</f>
        <v>Corn Stover</v>
      </c>
      <c r="D44" s="60"/>
      <c r="E44" s="60"/>
      <c r="F44" s="70">
        <v>2.0499999999999998</v>
      </c>
      <c r="G44" s="189">
        <f t="shared" si="0"/>
        <v>0.12299999999999998</v>
      </c>
      <c r="H44" s="181">
        <f>+'Step 1 - Feed Cost Input Sheet '!B28</f>
        <v>55</v>
      </c>
      <c r="I44" s="60" t="s">
        <v>86</v>
      </c>
    </row>
    <row r="45" spans="1:13" x14ac:dyDescent="0.25">
      <c r="C45" s="107" t="str">
        <f>+'Step 1 - Feed Cost Input Sheet '!A29</f>
        <v>Modified Distillers</v>
      </c>
      <c r="D45" s="60"/>
      <c r="E45" s="60"/>
      <c r="F45" s="70">
        <v>1.73</v>
      </c>
      <c r="G45" s="189">
        <f t="shared" si="0"/>
        <v>0.1038</v>
      </c>
      <c r="H45" s="181">
        <f>+'Step 1 - Feed Cost Input Sheet '!B29</f>
        <v>125</v>
      </c>
      <c r="I45" s="60" t="s">
        <v>86</v>
      </c>
    </row>
    <row r="46" spans="1:13" x14ac:dyDescent="0.25">
      <c r="C46" s="107" t="str">
        <f>+'Step 1 - Feed Cost Input Sheet '!A30</f>
        <v>Pasture</v>
      </c>
      <c r="D46" s="60"/>
      <c r="E46" s="60"/>
      <c r="F46" s="207"/>
      <c r="G46" s="189">
        <f>I27</f>
        <v>4</v>
      </c>
      <c r="H46" s="181">
        <f>+'Step 1 - Feed Cost Input Sheet '!B30</f>
        <v>45</v>
      </c>
      <c r="I46" s="60" t="s">
        <v>190</v>
      </c>
    </row>
    <row r="47" spans="1:13" x14ac:dyDescent="0.25">
      <c r="A47" s="1" t="s">
        <v>333</v>
      </c>
      <c r="D47" s="20" t="s">
        <v>13</v>
      </c>
    </row>
    <row r="48" spans="1:13" x14ac:dyDescent="0.25">
      <c r="A48" s="14" t="s">
        <v>14</v>
      </c>
    </row>
    <row r="49" spans="1:9" x14ac:dyDescent="0.25">
      <c r="B49" s="20" t="s">
        <v>47</v>
      </c>
      <c r="E49" s="35">
        <f>D21</f>
        <v>11</v>
      </c>
      <c r="F49" s="165" t="s">
        <v>48</v>
      </c>
      <c r="G49" s="25">
        <f>D22</f>
        <v>155</v>
      </c>
      <c r="I49" s="25">
        <f>E49*G49</f>
        <v>1705</v>
      </c>
    </row>
    <row r="50" spans="1:9" ht="15.75" thickBot="1" x14ac:dyDescent="0.3">
      <c r="B50" s="20" t="s">
        <v>49</v>
      </c>
      <c r="D50" s="164" t="s">
        <v>32</v>
      </c>
      <c r="E50" s="36">
        <f>D23</f>
        <v>1</v>
      </c>
      <c r="F50" s="20" t="s">
        <v>50</v>
      </c>
      <c r="G50" s="25">
        <f>I49</f>
        <v>1705</v>
      </c>
      <c r="H50" s="37" t="s">
        <v>30</v>
      </c>
      <c r="I50" s="45">
        <f>-E50*G50/100</f>
        <v>-17.05</v>
      </c>
    </row>
    <row r="51" spans="1:9" ht="15.75" thickBot="1" x14ac:dyDescent="0.3">
      <c r="D51" s="20" t="s">
        <v>15</v>
      </c>
      <c r="I51" s="208">
        <f>SUM(I49:I50)</f>
        <v>1687.95</v>
      </c>
    </row>
    <row r="53" spans="1:9" x14ac:dyDescent="0.25">
      <c r="A53" s="14" t="s">
        <v>16</v>
      </c>
    </row>
    <row r="55" spans="1:9" x14ac:dyDescent="0.25">
      <c r="B55" s="20" t="s">
        <v>51</v>
      </c>
      <c r="E55" s="35">
        <f>D26</f>
        <v>7.5</v>
      </c>
      <c r="F55" s="165" t="s">
        <v>52</v>
      </c>
      <c r="G55" s="25">
        <f>+D27</f>
        <v>164</v>
      </c>
      <c r="I55" s="45">
        <f>E55*G55</f>
        <v>1230</v>
      </c>
    </row>
    <row r="56" spans="1:9" x14ac:dyDescent="0.25">
      <c r="B56" s="38" t="s">
        <v>81</v>
      </c>
      <c r="C56" s="39"/>
      <c r="D56" s="39"/>
      <c r="E56" s="39"/>
      <c r="F56" s="39"/>
      <c r="G56" s="39"/>
      <c r="H56" s="39"/>
      <c r="I56" s="43">
        <f>SUM(H57:H66)</f>
        <v>286.6576714285714</v>
      </c>
    </row>
    <row r="57" spans="1:9" x14ac:dyDescent="0.25">
      <c r="B57" s="38" t="str">
        <f t="shared" ref="B57:B66" si="1">+C37</f>
        <v>Limestone</v>
      </c>
      <c r="C57" s="39"/>
      <c r="D57" s="38" t="s">
        <v>17</v>
      </c>
      <c r="E57" s="40">
        <f>+G37</f>
        <v>1.5960000000000001</v>
      </c>
      <c r="F57" s="41" t="s">
        <v>18</v>
      </c>
      <c r="G57" s="42">
        <f t="shared" ref="G57:G66" si="2">+H37</f>
        <v>10</v>
      </c>
      <c r="H57" s="42">
        <f>E57*G57</f>
        <v>15.96</v>
      </c>
    </row>
    <row r="58" spans="1:9" x14ac:dyDescent="0.25">
      <c r="B58" s="38" t="str">
        <f t="shared" si="1"/>
        <v>Mineral &amp; Salt</v>
      </c>
      <c r="C58" s="39"/>
      <c r="D58" s="39"/>
      <c r="E58" s="40">
        <f t="shared" ref="E58:E65" si="3">+G38</f>
        <v>0</v>
      </c>
      <c r="F58" s="41" t="s">
        <v>18</v>
      </c>
      <c r="G58" s="42">
        <f t="shared" si="2"/>
        <v>22</v>
      </c>
      <c r="H58" s="42">
        <f t="shared" ref="H58:H65" si="4">E58*G58</f>
        <v>0</v>
      </c>
    </row>
    <row r="59" spans="1:9" x14ac:dyDescent="0.25">
      <c r="B59" s="38" t="str">
        <f t="shared" si="1"/>
        <v>Dry Corn</v>
      </c>
      <c r="C59" s="39"/>
      <c r="D59" s="39"/>
      <c r="E59" s="40">
        <f t="shared" si="3"/>
        <v>14.507142857142856</v>
      </c>
      <c r="F59" s="41" t="s">
        <v>54</v>
      </c>
      <c r="G59" s="42">
        <f t="shared" si="2"/>
        <v>3.27</v>
      </c>
      <c r="H59" s="42">
        <f t="shared" si="4"/>
        <v>47.438357142857143</v>
      </c>
    </row>
    <row r="60" spans="1:9" x14ac:dyDescent="0.25">
      <c r="B60" s="38" t="str">
        <f t="shared" si="1"/>
        <v>High Moisture Corn</v>
      </c>
      <c r="C60" s="39"/>
      <c r="D60" s="39"/>
      <c r="E60" s="40">
        <f t="shared" si="3"/>
        <v>7.4571428571428573</v>
      </c>
      <c r="F60" s="41" t="s">
        <v>54</v>
      </c>
      <c r="G60" s="42">
        <f t="shared" si="2"/>
        <v>2.27</v>
      </c>
      <c r="H60" s="42">
        <f t="shared" si="4"/>
        <v>16.927714285714288</v>
      </c>
    </row>
    <row r="61" spans="1:9" x14ac:dyDescent="0.25">
      <c r="B61" s="38" t="str">
        <f t="shared" si="1"/>
        <v>Hay</v>
      </c>
      <c r="C61" s="39"/>
      <c r="D61" s="39"/>
      <c r="E61" s="40">
        <f t="shared" si="3"/>
        <v>3.4200000000000001E-2</v>
      </c>
      <c r="F61" s="41" t="s">
        <v>55</v>
      </c>
      <c r="G61" s="42">
        <f t="shared" si="2"/>
        <v>90</v>
      </c>
      <c r="H61" s="42">
        <f>E61*G61</f>
        <v>3.0780000000000003</v>
      </c>
    </row>
    <row r="62" spans="1:9" x14ac:dyDescent="0.25">
      <c r="B62" s="38" t="str">
        <f t="shared" si="1"/>
        <v>Alfalfa</v>
      </c>
      <c r="C62" s="39"/>
      <c r="D62" s="39"/>
      <c r="E62" s="40">
        <f t="shared" si="3"/>
        <v>0</v>
      </c>
      <c r="F62" s="41" t="s">
        <v>55</v>
      </c>
      <c r="G62" s="42">
        <f t="shared" si="2"/>
        <v>100</v>
      </c>
      <c r="H62" s="42">
        <f t="shared" si="4"/>
        <v>0</v>
      </c>
    </row>
    <row r="63" spans="1:9" x14ac:dyDescent="0.25">
      <c r="B63" s="38" t="str">
        <f t="shared" si="1"/>
        <v>Silage</v>
      </c>
      <c r="C63" s="39"/>
      <c r="D63" s="39"/>
      <c r="E63" s="40">
        <f t="shared" si="3"/>
        <v>0.10980000000000001</v>
      </c>
      <c r="F63" s="41" t="s">
        <v>55</v>
      </c>
      <c r="G63" s="42">
        <f t="shared" si="2"/>
        <v>32</v>
      </c>
      <c r="H63" s="42">
        <f t="shared" si="4"/>
        <v>3.5136000000000003</v>
      </c>
    </row>
    <row r="64" spans="1:9" x14ac:dyDescent="0.25">
      <c r="B64" s="38" t="str">
        <f t="shared" si="1"/>
        <v>Corn Stover</v>
      </c>
      <c r="C64" s="39"/>
      <c r="D64" s="39"/>
      <c r="E64" s="40">
        <f t="shared" si="3"/>
        <v>0.12299999999999998</v>
      </c>
      <c r="F64" s="41" t="s">
        <v>55</v>
      </c>
      <c r="G64" s="42">
        <f t="shared" si="2"/>
        <v>55</v>
      </c>
      <c r="H64" s="42">
        <f t="shared" si="4"/>
        <v>6.7649999999999988</v>
      </c>
    </row>
    <row r="65" spans="1:9" x14ac:dyDescent="0.25">
      <c r="B65" s="38" t="str">
        <f t="shared" si="1"/>
        <v>Modified Distillers</v>
      </c>
      <c r="C65" s="39"/>
      <c r="D65" s="39"/>
      <c r="E65" s="40">
        <f t="shared" si="3"/>
        <v>0.1038</v>
      </c>
      <c r="F65" s="41" t="s">
        <v>55</v>
      </c>
      <c r="G65" s="42">
        <f t="shared" si="2"/>
        <v>125</v>
      </c>
      <c r="H65" s="43">
        <f t="shared" si="4"/>
        <v>12.975</v>
      </c>
    </row>
    <row r="66" spans="1:9" x14ac:dyDescent="0.25">
      <c r="B66" s="38" t="str">
        <f t="shared" si="1"/>
        <v>Pasture</v>
      </c>
      <c r="C66" s="39"/>
      <c r="D66" s="39"/>
      <c r="E66" s="40">
        <f>+I27</f>
        <v>4</v>
      </c>
      <c r="F66" s="174" t="s">
        <v>230</v>
      </c>
      <c r="G66" s="42">
        <f t="shared" si="2"/>
        <v>45</v>
      </c>
      <c r="H66" s="43">
        <f>(E66*G66)</f>
        <v>180</v>
      </c>
    </row>
    <row r="67" spans="1:9" x14ac:dyDescent="0.25">
      <c r="B67" s="20" t="s">
        <v>19</v>
      </c>
      <c r="I67" s="25">
        <f>D30</f>
        <v>20</v>
      </c>
    </row>
    <row r="68" spans="1:9" x14ac:dyDescent="0.25">
      <c r="B68" s="20" t="s">
        <v>20</v>
      </c>
      <c r="I68" s="25">
        <f>D31</f>
        <v>5</v>
      </c>
    </row>
    <row r="69" spans="1:9" x14ac:dyDescent="0.25">
      <c r="B69" s="20" t="s">
        <v>21</v>
      </c>
      <c r="I69" s="25">
        <f>D32</f>
        <v>15.75</v>
      </c>
    </row>
    <row r="70" spans="1:9" x14ac:dyDescent="0.25">
      <c r="B70" s="20" t="s">
        <v>53</v>
      </c>
      <c r="I70" s="25">
        <f>+D33</f>
        <v>0</v>
      </c>
    </row>
    <row r="71" spans="1:9" ht="15.75" thickBot="1" x14ac:dyDescent="0.3">
      <c r="B71" s="20" t="s">
        <v>40</v>
      </c>
      <c r="I71" s="45">
        <f>+D34</f>
        <v>0</v>
      </c>
    </row>
    <row r="72" spans="1:9" ht="15.75" thickBot="1" x14ac:dyDescent="0.3">
      <c r="B72" s="20" t="s">
        <v>17</v>
      </c>
      <c r="D72" s="20" t="s">
        <v>22</v>
      </c>
      <c r="I72" s="209">
        <f>+SUM(I55:I71)</f>
        <v>1557.4076714285713</v>
      </c>
    </row>
    <row r="73" spans="1:9" ht="15.75" thickBot="1" x14ac:dyDescent="0.3"/>
    <row r="74" spans="1:9" ht="16.5" thickTop="1" thickBot="1" x14ac:dyDescent="0.3">
      <c r="A74" s="14" t="s">
        <v>23</v>
      </c>
      <c r="I74" s="44">
        <f>I51-I72</f>
        <v>130.5423285714287</v>
      </c>
    </row>
    <row r="75" spans="1:9" ht="15.75" thickTop="1" x14ac:dyDescent="0.25"/>
    <row r="76" spans="1:9" x14ac:dyDescent="0.25">
      <c r="A76" s="14" t="s">
        <v>24</v>
      </c>
    </row>
    <row r="77" spans="1:9" x14ac:dyDescent="0.25">
      <c r="B77" s="20" t="s">
        <v>25</v>
      </c>
      <c r="G77" s="8">
        <f>I21/100</f>
        <v>0.06</v>
      </c>
    </row>
    <row r="78" spans="1:9" x14ac:dyDescent="0.25">
      <c r="B78" s="2" t="s">
        <v>335</v>
      </c>
      <c r="I78" s="25">
        <f>((I72*I21)*($I$26/12))/100</f>
        <v>31.148153428571426</v>
      </c>
    </row>
    <row r="79" spans="1:9" x14ac:dyDescent="0.25">
      <c r="B79" s="20" t="s">
        <v>27</v>
      </c>
      <c r="I79" s="25">
        <f>I22</f>
        <v>6</v>
      </c>
    </row>
    <row r="80" spans="1:9" ht="15.75" thickBot="1" x14ac:dyDescent="0.3">
      <c r="B80" s="2" t="s">
        <v>337</v>
      </c>
      <c r="I80" s="45">
        <f>(I72+I23)*0.025</f>
        <v>41.435191785714288</v>
      </c>
    </row>
    <row r="81" spans="1:10" ht="15.75" thickBot="1" x14ac:dyDescent="0.3">
      <c r="D81" s="1" t="s">
        <v>336</v>
      </c>
      <c r="I81" s="214">
        <f>+SUM(I78:I80)</f>
        <v>78.583345214285714</v>
      </c>
    </row>
    <row r="82" spans="1:10" ht="15.75" thickBot="1" x14ac:dyDescent="0.3">
      <c r="D82" s="20" t="s">
        <v>28</v>
      </c>
      <c r="I82" s="217">
        <f>I74-SUM(I77:I80)</f>
        <v>51.958983357142984</v>
      </c>
    </row>
    <row r="83" spans="1:10" ht="15.75" thickTop="1" x14ac:dyDescent="0.25">
      <c r="D83" s="20"/>
      <c r="I83" s="45"/>
    </row>
    <row r="84" spans="1:10" x14ac:dyDescent="0.25">
      <c r="B84" s="269" t="s">
        <v>56</v>
      </c>
      <c r="C84" s="269"/>
      <c r="D84" s="269"/>
      <c r="E84" s="269"/>
      <c r="F84" s="269"/>
      <c r="G84" s="269"/>
      <c r="H84" s="25">
        <f>(I72+I81+I50)/E49</f>
        <v>147.17645605844157</v>
      </c>
      <c r="I84" s="219" t="s">
        <v>122</v>
      </c>
    </row>
    <row r="85" spans="1:10" x14ac:dyDescent="0.25">
      <c r="C85" s="269" t="s">
        <v>57</v>
      </c>
      <c r="D85" s="269"/>
      <c r="E85" s="269"/>
      <c r="F85" s="25">
        <f>D27</f>
        <v>164</v>
      </c>
      <c r="G85" s="20" t="s">
        <v>58</v>
      </c>
    </row>
    <row r="86" spans="1:10" x14ac:dyDescent="0.25">
      <c r="E86" s="269" t="s">
        <v>59</v>
      </c>
      <c r="F86" s="269"/>
      <c r="G86" s="165">
        <f>(SUM(I56:I71)+I81)/(E49-E55)</f>
        <v>115.99743332653061</v>
      </c>
      <c r="H86" s="20" t="s">
        <v>60</v>
      </c>
    </row>
    <row r="87" spans="1:10" x14ac:dyDescent="0.25">
      <c r="B87" s="269" t="s">
        <v>61</v>
      </c>
      <c r="C87" s="269"/>
      <c r="D87" s="269"/>
      <c r="E87" s="269"/>
      <c r="F87" s="269"/>
      <c r="G87" s="269"/>
      <c r="H87" s="25">
        <f>(I51-(SUM(I56:I71)+I81))/E55</f>
        <v>170.92786444761904</v>
      </c>
      <c r="I87" s="219" t="s">
        <v>122</v>
      </c>
    </row>
    <row r="88" spans="1:10" x14ac:dyDescent="0.25">
      <c r="C88" s="269" t="s">
        <v>62</v>
      </c>
      <c r="D88" s="269"/>
      <c r="E88" s="269"/>
      <c r="F88" s="48">
        <f>D22</f>
        <v>155</v>
      </c>
      <c r="G88" s="20" t="s">
        <v>58</v>
      </c>
    </row>
    <row r="89" spans="1:10" x14ac:dyDescent="0.25">
      <c r="A89" s="16" t="s">
        <v>102</v>
      </c>
      <c r="E89" s="24">
        <f>(D21-D26)*100</f>
        <v>350</v>
      </c>
      <c r="F89" s="14" t="s">
        <v>64</v>
      </c>
      <c r="I89" s="35">
        <f>E89/((I26+I27)*365/12)</f>
        <v>1.4383561643835616</v>
      </c>
      <c r="J89" s="20"/>
    </row>
    <row r="90" spans="1:10" x14ac:dyDescent="0.25">
      <c r="A90" s="16"/>
      <c r="E90" s="24"/>
      <c r="F90" s="14"/>
      <c r="I90" s="35"/>
      <c r="J90" s="20"/>
    </row>
    <row r="91" spans="1:10" x14ac:dyDescent="0.25">
      <c r="A91" s="14" t="s">
        <v>65</v>
      </c>
    </row>
    <row r="92" spans="1:10" x14ac:dyDescent="0.25">
      <c r="A92" s="20" t="s">
        <v>68</v>
      </c>
      <c r="E92" s="25">
        <f>I51</f>
        <v>1687.95</v>
      </c>
    </row>
    <row r="93" spans="1:10" x14ac:dyDescent="0.25">
      <c r="A93" s="20" t="s">
        <v>66</v>
      </c>
      <c r="E93" s="25">
        <f>I72</f>
        <v>1557.4076714285713</v>
      </c>
    </row>
    <row r="94" spans="1:10" x14ac:dyDescent="0.25">
      <c r="A94" s="20" t="s">
        <v>67</v>
      </c>
      <c r="E94" s="25">
        <f>I74/3</f>
        <v>43.514109523809566</v>
      </c>
    </row>
    <row r="95" spans="1:10" x14ac:dyDescent="0.25">
      <c r="A95" s="20" t="s">
        <v>69</v>
      </c>
      <c r="E95" s="8">
        <f>I74/(I72)</f>
        <v>8.3820268107248672E-2</v>
      </c>
    </row>
    <row r="97" spans="1:9" x14ac:dyDescent="0.25">
      <c r="B97" s="14" t="s">
        <v>70</v>
      </c>
    </row>
    <row r="98" spans="1:9" x14ac:dyDescent="0.25">
      <c r="B98" s="164"/>
    </row>
    <row r="99" spans="1:9" x14ac:dyDescent="0.25">
      <c r="B99" s="274" t="s">
        <v>105</v>
      </c>
      <c r="C99" s="275"/>
      <c r="F99" s="20" t="s">
        <v>35</v>
      </c>
    </row>
    <row r="100" spans="1:9" x14ac:dyDescent="0.25">
      <c r="A100" s="15"/>
      <c r="B100" s="272" t="s">
        <v>106</v>
      </c>
      <c r="C100" s="273"/>
      <c r="D100" s="46">
        <f>G49-8</f>
        <v>147</v>
      </c>
      <c r="E100" s="47">
        <f>G49-4</f>
        <v>151</v>
      </c>
      <c r="F100" s="47">
        <f>G49</f>
        <v>155</v>
      </c>
      <c r="G100" s="47">
        <f>G49+4</f>
        <v>159</v>
      </c>
      <c r="H100" s="47">
        <f>G49+8</f>
        <v>163</v>
      </c>
      <c r="I100" s="47">
        <f>H100+4</f>
        <v>167</v>
      </c>
    </row>
    <row r="101" spans="1:9" x14ac:dyDescent="0.25">
      <c r="B101" s="270">
        <f>G55-10</f>
        <v>154</v>
      </c>
      <c r="C101" s="271"/>
      <c r="D101" s="37">
        <f>(($E$49*D100)-($E$50/100*$E$49*D100))-(($E$55*B101)+SUM($I$56:$I$71)+SUM($I$78:$I$80))</f>
        <v>39.838983357142752</v>
      </c>
      <c r="E101" s="37">
        <f>(($E$49*E100)-($E$50/100*$E$49*E100))-(($E$55*B101)+SUM($I$56:$I$71)+SUM($I$78:$I$80))</f>
        <v>83.398983357142924</v>
      </c>
      <c r="F101" s="37">
        <f>(($E$49*F100)-($E$50/100*$E$49*F100))-(($E$55*B101)+SUM($I$56:$I$71)+SUM($I$78:$I$80))</f>
        <v>126.95898335714287</v>
      </c>
      <c r="G101" s="37">
        <f>(($E$49*G100)-($E$50/100*$E$49*G100))-(($E$55*B101)+SUM($I$56:$I$71)+SUM($I$78:$I$80))</f>
        <v>170.51898335714282</v>
      </c>
      <c r="H101" s="37">
        <f>(($E$49*H100)-($E$50/100*$E$49*H100))-(($E$55*B101)+SUM($I$56:$I$71)+SUM($I$78:$I$80))</f>
        <v>214.07898335714276</v>
      </c>
      <c r="I101" s="37">
        <f>(($E$49*I100)-($E$50/100*$E$49*I100))-(($E$55*B101)+SUM($I$56:$I$71)+SUM($I$78:$I$80))</f>
        <v>257.63898335714293</v>
      </c>
    </row>
    <row r="102" spans="1:9" x14ac:dyDescent="0.25">
      <c r="B102" s="274">
        <f>G55-5</f>
        <v>159</v>
      </c>
      <c r="C102" s="275"/>
      <c r="D102" s="37">
        <f>(($E$49*D100)-($E$50/100*$E$49*D100))-(($E$55*B102)+SUM($I$56:$I$71)+SUM($I$78:$I$80))</f>
        <v>2.3389833571427516</v>
      </c>
      <c r="E102" s="37">
        <f>(($E$49*E100)-($E$50/100*$E$49*E100))-(($E$55*B102)+SUM($I$56:$I$71)+SUM($I$78:$I$80))</f>
        <v>45.898983357142924</v>
      </c>
      <c r="F102" s="37">
        <f>(($E$49*F100)-($E$50/100*$E$49*F100))-(($E$55*B102)+SUM($I$56:$I$71)+SUM($I$78:$I$80))</f>
        <v>89.45898335714287</v>
      </c>
      <c r="G102" s="37">
        <f>(($E$49*G100)-($E$50/100*$E$49*G100))-(($E$55*B102)+SUM($I$56:$I$71)+SUM($I$78:$I$80))</f>
        <v>133.01898335714282</v>
      </c>
      <c r="H102" s="37">
        <f>(($E$49*H100)-($E$50/100*$E$49*H100))-(($E$55*B102)+SUM($I$56:$I$71)+SUM($I$78:$I$80))</f>
        <v>176.57898335714276</v>
      </c>
      <c r="I102" s="37">
        <f>(($E$49*I100)-($E$50/100*$E$49*I100))-(($E$55*B102)+SUM($I$56:$I$71)+SUM($I$78:$I$80))</f>
        <v>220.13898335714293</v>
      </c>
    </row>
    <row r="103" spans="1:9" x14ac:dyDescent="0.25">
      <c r="B103" s="274">
        <f>G55</f>
        <v>164</v>
      </c>
      <c r="C103" s="275"/>
      <c r="D103" s="37">
        <f t="shared" ref="D103:I103" si="5">(($E$49*D100)-($E$50/100*$E$49*D100))-(($E$55*$B$103)+SUM($I$56:$I$71)+SUM($I$78:$I$80))</f>
        <v>-35.161016642857248</v>
      </c>
      <c r="E103" s="37">
        <f t="shared" si="5"/>
        <v>8.3989833571429244</v>
      </c>
      <c r="F103" s="37">
        <f t="shared" si="5"/>
        <v>51.95898335714287</v>
      </c>
      <c r="G103" s="37">
        <f t="shared" si="5"/>
        <v>95.518983357142815</v>
      </c>
      <c r="H103" s="37">
        <f t="shared" si="5"/>
        <v>139.07898335714276</v>
      </c>
      <c r="I103" s="37">
        <f t="shared" si="5"/>
        <v>182.63898335714293</v>
      </c>
    </row>
    <row r="104" spans="1:9" x14ac:dyDescent="0.25">
      <c r="B104" s="274">
        <f>G55+5</f>
        <v>169</v>
      </c>
      <c r="C104" s="275"/>
      <c r="D104" s="37">
        <f t="shared" ref="D104:I104" si="6">(($E$49*D100)-($E$50/100*$E$49*D100))-(($E$55*$B$104)+SUM($I$56:$I$71)+SUM($I$78:$I$80))</f>
        <v>-72.661016642857248</v>
      </c>
      <c r="E104" s="37">
        <f t="shared" si="6"/>
        <v>-29.101016642857076</v>
      </c>
      <c r="F104" s="37">
        <f t="shared" si="6"/>
        <v>14.45898335714287</v>
      </c>
      <c r="G104" s="37">
        <f t="shared" si="6"/>
        <v>58.018983357142815</v>
      </c>
      <c r="H104" s="37">
        <f t="shared" si="6"/>
        <v>101.57898335714276</v>
      </c>
      <c r="I104" s="37">
        <f t="shared" si="6"/>
        <v>145.13898335714293</v>
      </c>
    </row>
    <row r="105" spans="1:9" x14ac:dyDescent="0.25">
      <c r="B105" s="274">
        <f>G55+10</f>
        <v>174</v>
      </c>
      <c r="C105" s="275"/>
      <c r="D105" s="37">
        <f t="shared" ref="D105:I105" si="7">(($E$49*D100)-($E$50/100*$E$49*D100))-(($E$55*$B$105)+SUM($I$56:$I$71)+SUM($I$78:$I$80))</f>
        <v>-110.16101664285725</v>
      </c>
      <c r="E105" s="37">
        <f t="shared" si="7"/>
        <v>-66.601016642857076</v>
      </c>
      <c r="F105" s="37">
        <f t="shared" si="7"/>
        <v>-23.04101664285713</v>
      </c>
      <c r="G105" s="37">
        <f t="shared" si="7"/>
        <v>20.518983357142815</v>
      </c>
      <c r="H105" s="37">
        <f t="shared" si="7"/>
        <v>64.078983357142761</v>
      </c>
      <c r="I105" s="37">
        <f t="shared" si="7"/>
        <v>107.63898335714293</v>
      </c>
    </row>
    <row r="106" spans="1:9" x14ac:dyDescent="0.25">
      <c r="I106" s="26"/>
    </row>
    <row r="107" spans="1:9" x14ac:dyDescent="0.25">
      <c r="I107" s="26"/>
    </row>
    <row r="108" spans="1:9" x14ac:dyDescent="0.25">
      <c r="B108" s="17" t="s">
        <v>70</v>
      </c>
      <c r="C108" s="25"/>
      <c r="D108" s="25"/>
      <c r="E108" s="25"/>
      <c r="F108" s="25"/>
      <c r="G108" s="25"/>
      <c r="I108" s="26"/>
    </row>
    <row r="109" spans="1:9" x14ac:dyDescent="0.25">
      <c r="B109" s="37" t="s">
        <v>71</v>
      </c>
      <c r="E109" s="51">
        <f>G55</f>
        <v>164</v>
      </c>
      <c r="F109" s="37" t="s">
        <v>72</v>
      </c>
      <c r="H109" s="25"/>
      <c r="I109" s="37"/>
    </row>
    <row r="110" spans="1:9" x14ac:dyDescent="0.25">
      <c r="B110" s="48"/>
      <c r="C110" s="168" t="s">
        <v>104</v>
      </c>
      <c r="D110" s="25"/>
      <c r="E110" s="25"/>
      <c r="F110" s="25"/>
      <c r="G110" s="25"/>
      <c r="H110" s="25"/>
      <c r="I110" s="37"/>
    </row>
    <row r="111" spans="1:9" x14ac:dyDescent="0.25">
      <c r="A111" s="15"/>
      <c r="B111" s="15"/>
      <c r="C111" s="18" t="s">
        <v>107</v>
      </c>
      <c r="D111" s="47">
        <f>G49-8</f>
        <v>147</v>
      </c>
      <c r="E111" s="47">
        <f>G49-4</f>
        <v>151</v>
      </c>
      <c r="F111" s="47">
        <f>G49</f>
        <v>155</v>
      </c>
      <c r="G111" s="47">
        <f>G49+4</f>
        <v>159</v>
      </c>
      <c r="H111" s="47">
        <f>G49+8</f>
        <v>163</v>
      </c>
      <c r="I111" s="47">
        <f>G49+12</f>
        <v>167</v>
      </c>
    </row>
    <row r="112" spans="1:9" x14ac:dyDescent="0.25">
      <c r="C112" s="49">
        <f>G86/100-0.1</f>
        <v>1.059974333265306</v>
      </c>
      <c r="D112" s="37">
        <f>((E49*(G49-8))-(E50/100*E49*(G49-8)))-(I55+((G86-10)*(E49-E55)))</f>
        <v>-0.16101664285724837</v>
      </c>
      <c r="E112" s="37">
        <f>((E49*(G49-4))-(E50/100*E49*(G49-4)))-(I55+((G86-10)*(E49-E55)))</f>
        <v>43.398983357142924</v>
      </c>
      <c r="F112" s="37">
        <f>((E49*(G49))-(E50/100*E49*(G49)))-(I55+((G86-10)*(E49-E55)))</f>
        <v>86.95898335714287</v>
      </c>
      <c r="G112" s="37">
        <f>((E49*(G49+4))-(E50/100*E49*(G49+4)))-(I55+((G86-10)*(E49-E55)))</f>
        <v>130.51898335714282</v>
      </c>
      <c r="H112" s="37">
        <f>((E49*(G49+8))-(E50/100*E49*(G49+8)))-(I55+((G86-10)*(E49-E55)))</f>
        <v>174.07898335714276</v>
      </c>
      <c r="I112" s="37">
        <f>((E49*(G49+12))-(E50/100*E49*(G49+12)))-(I55+((G86-10)*(E49-E55)))</f>
        <v>217.63898335714293</v>
      </c>
    </row>
    <row r="113" spans="1:10" x14ac:dyDescent="0.25">
      <c r="C113" s="49">
        <f>G86/100-0.05</f>
        <v>1.109974333265306</v>
      </c>
      <c r="D113" s="37">
        <f>((E49*(G49-8))-(E50/100*E49*(G49-8)))-(I55+((G86-5)*(E49-E55)))</f>
        <v>-17.661016642857248</v>
      </c>
      <c r="E113" s="37">
        <f>((E49*(G49-4))-(E50/100*E49*(G49-4)))-(I55+((G86-5)*(E49-E55)))</f>
        <v>25.898983357142924</v>
      </c>
      <c r="F113" s="37">
        <f>((E49*(G49))-(E50/100*E49*(G49)))-(I55+((G86-5)*(E49-E55)))</f>
        <v>69.45898335714287</v>
      </c>
      <c r="G113" s="37">
        <f>((E49*(G49+4))-(E50/100*E49*(G49+4)))-(I55+((G86-5)*(E49-E55)))</f>
        <v>113.01898335714282</v>
      </c>
      <c r="H113" s="37">
        <f>((E49*(G49+8))-(E50/100*E49*(G49+8)))-(I55+((G86-5)*(E49-E55)))</f>
        <v>156.57898335714276</v>
      </c>
      <c r="I113" s="37">
        <f>((E49*(G49+12))-(E50/100*E49*(G49+12)))-(I55+((G86-5)*(E49-E55)))</f>
        <v>200.13898335714293</v>
      </c>
    </row>
    <row r="114" spans="1:10" x14ac:dyDescent="0.25">
      <c r="C114" s="49">
        <f>G86/100</f>
        <v>1.1599743332653061</v>
      </c>
      <c r="D114" s="37">
        <f>((E49*(G49-8))-(E50/100*E49*(G49-8)))-(I55+(G86*(E49-E55)))</f>
        <v>-35.161016642857248</v>
      </c>
      <c r="E114" s="37">
        <f>((E49*(G49-4))-(E50/100*E49*(G49-4)))-(I55+(G86*(E49-E55)))</f>
        <v>8.3989833571429244</v>
      </c>
      <c r="F114" s="37">
        <f>((E49*G49)-(E50/100*E49*G49))-(I55+(G86*(E49-E55)))</f>
        <v>51.95898335714287</v>
      </c>
      <c r="G114" s="37">
        <f>((E49*(G49+4))-(E50/100*E49*(G49+4)))-(I55+(G86*(E49-E55)))</f>
        <v>95.518983357142815</v>
      </c>
      <c r="H114" s="37">
        <f>((E49*(G49+8))-(E50/100*E49*(G49+8)))-(I55+(G86*(E49-E55)))</f>
        <v>139.07898335714276</v>
      </c>
      <c r="I114" s="37">
        <f>((E49*(G49+12))-(E50/100*E49*(G49+12)))-(I55+(G86*(E49-E55)))</f>
        <v>182.63898335714293</v>
      </c>
    </row>
    <row r="115" spans="1:10" x14ac:dyDescent="0.25">
      <c r="C115" s="49">
        <f>G86/100+0.05</f>
        <v>1.2099743332653061</v>
      </c>
      <c r="D115" s="37">
        <f>((E49*(G49-8))-(E50/100*E49*(G49-8)))-(I55+((G86+5)*(E49-E55)))</f>
        <v>-52.661016642857248</v>
      </c>
      <c r="E115" s="37">
        <f>((E49*(G49-4))-(E50/100*E49*(G49-4)))-(I55+((G86+5)*(E49-E55)))</f>
        <v>-9.1010166428570756</v>
      </c>
      <c r="F115" s="37">
        <f>((E49*(G49))-(E50/100*E49*(G49)))-(I55+((G86+5)*(E49-E55)))</f>
        <v>34.45898335714287</v>
      </c>
      <c r="G115" s="37">
        <f>((E49*(G49+4))-(E50/100*E49*(G49+4)))-(I55+((G86+5)*(E49-E55)))</f>
        <v>78.018983357142815</v>
      </c>
      <c r="H115" s="37">
        <f>((E49*(G49+8))-(E50/100*E49*(G49+8)))-(I55+((G86+5)*(E49-E55)))</f>
        <v>121.57898335714276</v>
      </c>
      <c r="I115" s="37">
        <f>((E49*(G49+12))-(E50/100*E49*(G49+12)))-(I55+((G86+5)*(E49-E55)))</f>
        <v>165.13898335714293</v>
      </c>
    </row>
    <row r="116" spans="1:10" x14ac:dyDescent="0.25">
      <c r="C116" s="49">
        <f>G86/100+0.1</f>
        <v>1.2599743332653062</v>
      </c>
      <c r="D116" s="37">
        <f>((E49*(G49-8))-(E50/100*E49*(G49-8)))-(I55+((G86+10)*(E49-E55)))</f>
        <v>-70.161016642857248</v>
      </c>
      <c r="E116" s="37">
        <f>((E49*(G49-4))-(E50/100*E49*(G49-4)))-(I55+((G86+10)*(E49-E55)))</f>
        <v>-26.601016642857076</v>
      </c>
      <c r="F116" s="37">
        <f>((E49*(G49))-(E50/100*E49*(G49)))-(I55+((G86+10)*(E49-E55)))</f>
        <v>16.95898335714287</v>
      </c>
      <c r="G116" s="37">
        <f>((E49*(G49+4))-(E50/100*E49*(G49+4)))-(I55+((G86+10)*(E49-E55)))</f>
        <v>60.518983357142815</v>
      </c>
      <c r="H116" s="37">
        <f>((E49*(G49+8))-(E50/100*E49*(G49+8)))-(I55+((G86+10)*(E49-E55)))</f>
        <v>104.07898335714276</v>
      </c>
      <c r="I116" s="37">
        <f>((E49*(G49+12))-(E50/100*E49*(G49+12)))-(I55+((G86+10)*(E49-E55)))</f>
        <v>147.63898335714293</v>
      </c>
    </row>
    <row r="117" spans="1:10" x14ac:dyDescent="0.25">
      <c r="I117" s="26"/>
    </row>
    <row r="118" spans="1:10" x14ac:dyDescent="0.25">
      <c r="B118" s="17" t="s">
        <v>70</v>
      </c>
      <c r="I118" s="26"/>
    </row>
    <row r="119" spans="1:10" x14ac:dyDescent="0.25">
      <c r="B119" s="37" t="s">
        <v>71</v>
      </c>
      <c r="E119" s="51">
        <f>G55+10</f>
        <v>174</v>
      </c>
      <c r="F119" s="37" t="s">
        <v>72</v>
      </c>
      <c r="H119" s="25"/>
      <c r="I119" s="37"/>
    </row>
    <row r="120" spans="1:10" x14ac:dyDescent="0.25">
      <c r="B120" s="37"/>
      <c r="C120" s="168" t="s">
        <v>103</v>
      </c>
      <c r="E120" s="25"/>
      <c r="F120" s="37"/>
      <c r="H120" s="25"/>
      <c r="I120" s="37"/>
    </row>
    <row r="121" spans="1:10" x14ac:dyDescent="0.25">
      <c r="A121" s="15"/>
      <c r="B121" s="15"/>
      <c r="C121" s="19" t="s">
        <v>108</v>
      </c>
      <c r="D121" s="47">
        <f>G49-8</f>
        <v>147</v>
      </c>
      <c r="E121" s="47">
        <f>G49-4</f>
        <v>151</v>
      </c>
      <c r="F121" s="47">
        <f>G49</f>
        <v>155</v>
      </c>
      <c r="G121" s="47">
        <f>G49+4</f>
        <v>159</v>
      </c>
      <c r="H121" s="47">
        <f>G49+8</f>
        <v>163</v>
      </c>
      <c r="I121" s="47">
        <f>G49+12</f>
        <v>167</v>
      </c>
    </row>
    <row r="122" spans="1:10" x14ac:dyDescent="0.25">
      <c r="C122" s="49">
        <f>G86/100-0.1</f>
        <v>1.059974333265306</v>
      </c>
      <c r="D122" s="37">
        <f>((E49*(G49-8))-(E50/100*E49*(G49-8)))-((E55*(G55+10))+((G86-10)*(E49-E55)))</f>
        <v>-75.161016642857248</v>
      </c>
      <c r="E122" s="37">
        <f>((E49*(G49-4))-(E50/100*E49*(G49-4)))-((E55*(G55+10))+((G86-10)*(E49-E55)))</f>
        <v>-31.601016642857076</v>
      </c>
      <c r="F122" s="37">
        <f>((E49*(G49))-(E50/100*E49*(G49)))-((E55*(G55+10))+((G86-10)*(E49-E55)))</f>
        <v>11.95898335714287</v>
      </c>
      <c r="G122" s="37">
        <f>((E49*(G49+4))-(E50/100*E49*(G49+4)))-((E55*(G55+10))+((G86-10)*(E49-E55)))</f>
        <v>55.518983357142815</v>
      </c>
      <c r="H122" s="37">
        <f>((E49*(G49+8))-(E50/100*E49*(G49+8)))-((E55*(G55+10))+((G86-10)*(E49-E55)))</f>
        <v>99.078983357142761</v>
      </c>
      <c r="I122" s="37">
        <f>((E49*I121)-(E50/100*E49*I121))-((E55*E119)+(C122*100*(E49-E55)))</f>
        <v>142.63898335714293</v>
      </c>
    </row>
    <row r="123" spans="1:10" x14ac:dyDescent="0.25">
      <c r="C123" s="49">
        <f>G86/100-0.05</f>
        <v>1.109974333265306</v>
      </c>
      <c r="D123" s="37">
        <f>((E49*(G49-8))-(E50/100*E49*(G49-8)))-((E55*(G55+10))+((G86-5)*(E49-E55)))</f>
        <v>-92.661016642857248</v>
      </c>
      <c r="E123" s="37">
        <f>((E49*(G49-4))-(E50/100*E49*(G49-4)))-((E55*(G55+10))+((G86-5)*(E49-E55)))</f>
        <v>-49.101016642857076</v>
      </c>
      <c r="F123" s="37">
        <f>((E49*(G49))-(E50/100*E49*(G49)))-((E55*(G55+10))+((G86-5)*(E49-E55)))</f>
        <v>-5.5410166428571301</v>
      </c>
      <c r="G123" s="37">
        <f>((E49*(G49+4))-(E50/100*E49*(G49+4)))-((E55*(G55+10))+((G86-5)*(E49-E55)))</f>
        <v>38.018983357142815</v>
      </c>
      <c r="H123" s="37">
        <f>((E49*(G49+8))-(E50/100*E49*(G49+8)))-((E55*(G55+10))+((G86-5)*(E49-E55)))</f>
        <v>81.578983357142761</v>
      </c>
      <c r="I123" s="37">
        <f>((E49*(G49+12))-(E50/100*E49*(G49+12)))-((E55*(G55+10))+((G86-5)*(E49-E55)))</f>
        <v>125.13898335714293</v>
      </c>
    </row>
    <row r="124" spans="1:10" x14ac:dyDescent="0.25">
      <c r="C124" s="49">
        <f>G86/100</f>
        <v>1.1599743332653061</v>
      </c>
      <c r="D124" s="37">
        <f>((E49*(G49-8))-(E50/100*E49*(G49-8)))-((E55*(G55+10))+(G86*(E49-E55)))</f>
        <v>-110.16101664285725</v>
      </c>
      <c r="E124" s="37">
        <f>((E49*(G49-4))-(E50/100*E49*(G49-4)))-((E55*(G55+10))+(G86*(E49-E55)))</f>
        <v>-66.601016642857076</v>
      </c>
      <c r="F124" s="37">
        <f>((E49*G49)-(E50/100*E49*G49))-((E55*(G55+10))+(G86*(E49-E55)))</f>
        <v>-23.04101664285713</v>
      </c>
      <c r="G124" s="37">
        <f>((E49*(G49+4))-(E50/100*E49*(G49+4)))-((E55*(G55+10))+(G86*(E49-E55)))</f>
        <v>20.518983357142815</v>
      </c>
      <c r="H124" s="37">
        <f>((E49*(G49+8))-(E50/100*E49*(G49+8)))-((E55*(G55+10))+(G86*(E49-E55)))</f>
        <v>64.078983357142761</v>
      </c>
      <c r="I124" s="37">
        <f>((E49*(G49+12))-(E50/100*E49*(G49+12)))-((E55*(G55+10))+(G86*(E49-E55)))</f>
        <v>107.63898335714293</v>
      </c>
    </row>
    <row r="125" spans="1:10" x14ac:dyDescent="0.25">
      <c r="C125" s="49">
        <f>G86/100+0.05</f>
        <v>1.2099743332653061</v>
      </c>
      <c r="D125" s="37">
        <f>((E49*(G49-8))-(E50/100*E49*(G49-8)))-((E55*(G55+10))+((G86+5)*(E49-E55)))</f>
        <v>-127.66101664285725</v>
      </c>
      <c r="E125" s="37">
        <f>((E49*(G49-4))-(E50/100*E49*(G49-4)))-((E55*(G55+10))+((G86+5)*(E49-E55)))</f>
        <v>-84.101016642857076</v>
      </c>
      <c r="F125" s="37">
        <f>((E49*(G49))-(E50/100*E49*(G49)))-((E55*(G55+10))+((G86+5)*(E49-E55)))</f>
        <v>-40.54101664285713</v>
      </c>
      <c r="G125" s="37">
        <f>((E49*(G49+4))-(E50/100*E49*(G49+4)))-((E55*(G55+10))+((G86+5)*(E49-E55)))</f>
        <v>3.0189833571428153</v>
      </c>
      <c r="H125" s="37">
        <f>((E49*(G49+8))-(E50/100*E49*(G49+8)))-((E55*(G55+10))+((G86+5)*(E49-E55)))</f>
        <v>46.578983357142761</v>
      </c>
      <c r="I125" s="37">
        <f>((E49*(G49+12))-(E50/100*E49*(G49+12)))-((E55*(G55+10))+((G86+5)*(E49-E55)))</f>
        <v>90.138983357142934</v>
      </c>
    </row>
    <row r="126" spans="1:10" x14ac:dyDescent="0.25">
      <c r="C126" s="49">
        <f>G86/100+0.1</f>
        <v>1.2599743332653062</v>
      </c>
      <c r="D126" s="37">
        <f>((E49*(G49-8))-(E50/100*E49*(G49-8)))-((E55*(G55+10))+((G86+10)*(E49-E55)))</f>
        <v>-145.16101664285725</v>
      </c>
      <c r="E126" s="37">
        <f>((E49*(G49-4))-(E50/100*E69*(G49-4)))-((E55*(G55+10))+((G86+10)*(E49-E55)))</f>
        <v>-84.991016642857176</v>
      </c>
      <c r="F126" s="37">
        <f>((E49*(G49))-(E50/100*E49*(G49)))-((E55*(G55+10))+((G86+10)*(E49-E55)))</f>
        <v>-58.04101664285713</v>
      </c>
      <c r="G126" s="37">
        <f>((E49*(G49+4))-(E50/100*E49*(G49+4)))-((E55*(G55+10))+((G86+10)*(E49-E55)))</f>
        <v>-14.481016642857185</v>
      </c>
      <c r="H126" s="37">
        <f>((E49*(G49+8))-(E50/100*E49*(G49+8)))-((E55*(G55+10))+((G86+10)*(E49-E55)))</f>
        <v>29.078983357142761</v>
      </c>
      <c r="I126" s="37">
        <f>((E49*(G49+12))-(E50/100*E49*(G49+12)))-((E55*(G55+10))+((G86+10)*(E49-E55)))</f>
        <v>72.638983357142934</v>
      </c>
    </row>
    <row r="128" spans="1:10" x14ac:dyDescent="0.25">
      <c r="A128" s="247"/>
      <c r="B128" s="247"/>
      <c r="C128" s="247"/>
      <c r="D128" s="247"/>
      <c r="E128" s="247"/>
      <c r="F128" s="247"/>
      <c r="G128" s="247"/>
      <c r="H128" s="247"/>
      <c r="I128" s="247"/>
      <c r="J128" s="20"/>
    </row>
    <row r="129" spans="1:10" x14ac:dyDescent="0.25">
      <c r="A129" s="247"/>
      <c r="B129" s="247"/>
      <c r="C129" s="247"/>
      <c r="D129" s="247"/>
      <c r="E129" s="247"/>
      <c r="F129" s="247"/>
      <c r="G129" s="247"/>
      <c r="H129" s="247"/>
      <c r="I129" s="247"/>
      <c r="J129" s="20"/>
    </row>
    <row r="130" spans="1:10" x14ac:dyDescent="0.25">
      <c r="A130" s="20"/>
      <c r="J130" s="20"/>
    </row>
    <row r="131" spans="1:10" x14ac:dyDescent="0.25">
      <c r="A131" s="266"/>
      <c r="B131" s="266"/>
      <c r="C131" s="266"/>
      <c r="D131" s="266"/>
      <c r="E131" s="266"/>
      <c r="F131" s="266"/>
      <c r="G131" s="266"/>
      <c r="H131" s="266"/>
      <c r="I131" s="266"/>
      <c r="J131" s="20"/>
    </row>
    <row r="132" spans="1:10" x14ac:dyDescent="0.25">
      <c r="A132" s="266"/>
      <c r="B132" s="301"/>
      <c r="C132" s="301"/>
      <c r="D132" s="301"/>
      <c r="E132" s="301"/>
      <c r="F132" s="301"/>
      <c r="G132" s="301"/>
      <c r="H132" s="301"/>
      <c r="I132" s="301"/>
    </row>
    <row r="133" spans="1:10" x14ac:dyDescent="0.25">
      <c r="G133" s="25"/>
    </row>
    <row r="134" spans="1:10" x14ac:dyDescent="0.25">
      <c r="A134" s="267"/>
      <c r="B134" s="267"/>
      <c r="C134" s="267"/>
      <c r="D134" s="267"/>
      <c r="E134" s="267"/>
      <c r="F134" s="267"/>
      <c r="G134" s="267"/>
      <c r="H134" s="267"/>
      <c r="I134" s="267"/>
    </row>
    <row r="135" spans="1:10" x14ac:dyDescent="0.25">
      <c r="A135" s="267"/>
      <c r="B135" s="267"/>
      <c r="C135" s="267"/>
      <c r="D135" s="267"/>
      <c r="E135" s="267"/>
      <c r="F135" s="267"/>
      <c r="G135" s="267"/>
      <c r="H135" s="267"/>
      <c r="I135" s="267"/>
    </row>
    <row r="136" spans="1:10" x14ac:dyDescent="0.25">
      <c r="A136" s="20"/>
      <c r="G136" s="25"/>
    </row>
    <row r="138" spans="1:10" x14ac:dyDescent="0.25">
      <c r="A138" s="50"/>
    </row>
    <row r="140" spans="1:10" x14ac:dyDescent="0.25">
      <c r="A140" s="20"/>
    </row>
    <row r="141" spans="1:10" x14ac:dyDescent="0.25">
      <c r="A141" s="50"/>
    </row>
    <row r="142" spans="1:10" x14ac:dyDescent="0.25">
      <c r="A142" s="20"/>
    </row>
    <row r="153" spans="1:1" x14ac:dyDescent="0.25">
      <c r="A153" s="20"/>
    </row>
  </sheetData>
  <sheetProtection sheet="1" objects="1" scenarios="1"/>
  <mergeCells count="24">
    <mergeCell ref="A132:I132"/>
    <mergeCell ref="A134:I135"/>
    <mergeCell ref="B102:C102"/>
    <mergeCell ref="B103:C103"/>
    <mergeCell ref="B104:C104"/>
    <mergeCell ref="B105:C105"/>
    <mergeCell ref="A128:I129"/>
    <mergeCell ref="A131:I131"/>
    <mergeCell ref="J37:M40"/>
    <mergeCell ref="B101:C101"/>
    <mergeCell ref="A1:I1"/>
    <mergeCell ref="A2:H2"/>
    <mergeCell ref="A5:I9"/>
    <mergeCell ref="A10:I10"/>
    <mergeCell ref="A11:I11"/>
    <mergeCell ref="C85:E85"/>
    <mergeCell ref="E86:F86"/>
    <mergeCell ref="C88:E88"/>
    <mergeCell ref="B99:C99"/>
    <mergeCell ref="B100:C100"/>
    <mergeCell ref="F35:F36"/>
    <mergeCell ref="G34:G36"/>
    <mergeCell ref="B84:G84"/>
    <mergeCell ref="B87:G87"/>
  </mergeCells>
  <conditionalFormatting sqref="D101:I105">
    <cfRule type="colorScale" priority="3">
      <colorScale>
        <cfvo type="num" val="0"/>
        <cfvo type="num" val="1"/>
        <cfvo type="max"/>
        <color rgb="FFF8696B"/>
        <color rgb="FFFFEB84"/>
        <color rgb="FF63BE7B"/>
      </colorScale>
    </cfRule>
    <cfRule type="colorScale" priority="5">
      <colorScale>
        <cfvo type="num" val="0"/>
        <cfvo type="percentile" val="50"/>
        <cfvo type="max"/>
        <color rgb="FFF8696B"/>
        <color rgb="FFFFEB84"/>
        <color rgb="FF63BE7B"/>
      </colorScale>
    </cfRule>
  </conditionalFormatting>
  <conditionalFormatting sqref="D112:I116">
    <cfRule type="colorScale" priority="4">
      <colorScale>
        <cfvo type="num" val="0"/>
        <cfvo type="num" val="1"/>
        <cfvo type="max"/>
        <color rgb="FFF8696B"/>
        <color rgb="FFFFEB84"/>
        <color rgb="FF63BE7B"/>
      </colorScale>
    </cfRule>
  </conditionalFormatting>
  <conditionalFormatting sqref="D122:I126">
    <cfRule type="colorScale" priority="1">
      <colorScale>
        <cfvo type="num" val="0"/>
        <cfvo type="num" val="1"/>
        <cfvo type="max"/>
        <color rgb="FFF8696B"/>
        <color rgb="FFFFEB84"/>
        <color rgb="FF63BE7B"/>
      </colorScale>
    </cfRule>
    <cfRule type="colorScale" priority="2">
      <colorScale>
        <cfvo type="min"/>
        <cfvo type="percentile" val="50"/>
        <cfvo type="max"/>
        <color rgb="FFF8696B"/>
        <color rgb="FFFFEB84"/>
        <color rgb="FF63BE7B"/>
      </colorScale>
    </cfRule>
  </conditionalFormatting>
  <pageMargins left="0.7" right="0.7" top="0.75" bottom="0.75" header="0.3" footer="0.3"/>
  <pageSetup orientation="portrait" r:id="rId1"/>
  <rowBreaks count="1" manualBreakCount="1">
    <brk id="96" max="16383" man="1"/>
  </rowBreaks>
  <extLst>
    <ext xmlns:x14="http://schemas.microsoft.com/office/spreadsheetml/2009/9/main" uri="{78C0D931-6437-407d-A8EE-F0AAD7539E65}">
      <x14:conditionalFormattings>
        <x14:conditionalFormatting xmlns:xm="http://schemas.microsoft.com/office/excel/2006/main">
          <x14:cfRule type="colorScale" priority="32" id="{09A6B1E1-8B2D-4C50-8F75-EAE7DCCFC44B}">
            <x14:colorScale>
              <x14:cfvo type="min"/>
              <x14:cfvo type="num">
                <xm:f>'Background Nov-Feb'!$I$90</xm:f>
              </x14:cfvo>
              <x14:cfvo type="max"/>
              <x14:color rgb="FFF8696B"/>
              <x14:color rgb="FFFFEB84"/>
              <x14:color rgb="FF63BE7B"/>
            </x14:colorScale>
          </x14:cfRule>
          <xm:sqref>D101:I105</xm:sqref>
        </x14:conditionalFormatting>
        <x14:conditionalFormatting xmlns:xm="http://schemas.microsoft.com/office/excel/2006/main">
          <x14:cfRule type="colorScale" priority="33" id="{06CE0994-48C1-4C12-9A91-3D046E79DF3A}">
            <x14:colorScale>
              <x14:cfvo type="min"/>
              <x14:cfvo type="num">
                <xm:f>'Background Nov-Feb'!$I$90</xm:f>
              </x14:cfvo>
              <x14:cfvo type="max"/>
              <x14:color rgb="FFF8696B"/>
              <x14:color rgb="FFFFEB84"/>
              <x14:color rgb="FF63BE7B"/>
            </x14:colorScale>
          </x14:cfRule>
          <xm:sqref>D112:I116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Heather</vt:lpstr>
      <vt:lpstr>Introduction</vt:lpstr>
      <vt:lpstr>10-9-2015 prices sources</vt:lpstr>
      <vt:lpstr>Step 1 - Feed Cost Input Sheet </vt:lpstr>
      <vt:lpstr>Heifer Development</vt:lpstr>
      <vt:lpstr>Beef Cow Only</vt:lpstr>
      <vt:lpstr>Background Nov-Feb</vt:lpstr>
      <vt:lpstr>Finish Steers</vt:lpstr>
      <vt:lpstr>Background Yearlings 750-1100#</vt:lpstr>
      <vt:lpstr>Finish Yearlings 1100-1400</vt:lpstr>
      <vt:lpstr>12-15-2015 prices</vt:lpstr>
      <vt:lpstr>'Background Nov-Feb'!Print_Area</vt:lpstr>
      <vt:lpstr>'Background Yearlings 750-1100#'!Print_Area</vt:lpstr>
      <vt:lpstr>'Beef Cow Only'!Print_Area</vt:lpstr>
      <vt:lpstr>'Finish Steers'!Print_Area</vt:lpstr>
      <vt:lpstr>'Finish Yearlings 1100-1400'!Print_Area</vt:lpstr>
      <vt:lpstr>'Heifer Development'!Print_Area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Gessner</dc:creator>
  <cp:lastModifiedBy>Heather Gessner</cp:lastModifiedBy>
  <cp:lastPrinted>2015-10-14T18:53:38Z</cp:lastPrinted>
  <dcterms:created xsi:type="dcterms:W3CDTF">2006-01-17T20:26:47Z</dcterms:created>
  <dcterms:modified xsi:type="dcterms:W3CDTF">2016-03-28T19:40:32Z</dcterms:modified>
</cp:coreProperties>
</file>